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da00f4b03c1ca4e6/Documenti/Regione Siciliana/Work in progress/Azione 1.1.1/"/>
    </mc:Choice>
  </mc:AlternateContent>
  <xr:revisionPtr revIDLastSave="46" documentId="8_{E1DA3E00-479A-4497-8C04-B559CB876A17}" xr6:coauthVersionLast="47" xr6:coauthVersionMax="47" xr10:uidLastSave="{345B6203-7CEB-449F-9000-6CE8013EF901}"/>
  <bookViews>
    <workbookView xWindow="43080" yWindow="-120" windowWidth="29040" windowHeight="15720" tabRatio="500" activeTab="1" xr2:uid="{00000000-000D-0000-FFFF-FFFF00000000}"/>
  </bookViews>
  <sheets>
    <sheet name="Massimali" sheetId="1" r:id="rId1"/>
    <sheet name="Calcolo punteggio Criterio 1" sheetId="2" r:id="rId2"/>
    <sheet name="Esempio_1" sheetId="6" r:id="rId3"/>
    <sheet name="Esempio_2"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4" i="2" l="1"/>
  <c r="C16" i="7"/>
  <c r="D16" i="7" s="1"/>
  <c r="B16" i="7"/>
  <c r="E15" i="7"/>
  <c r="E16" i="7" s="1"/>
  <c r="F16" i="7" s="1"/>
  <c r="G16" i="7" s="1"/>
  <c r="H16" i="7" s="1"/>
  <c r="C15" i="7"/>
  <c r="B15" i="7"/>
  <c r="E14" i="7"/>
  <c r="C14" i="7"/>
  <c r="B14" i="7"/>
  <c r="C16" i="6"/>
  <c r="D16" i="6" s="1"/>
  <c r="B16" i="6"/>
  <c r="E15" i="6"/>
  <c r="E16" i="6" s="1"/>
  <c r="F16" i="6" s="1"/>
  <c r="G16" i="6" s="1"/>
  <c r="H16" i="6" s="1"/>
  <c r="C15" i="6"/>
  <c r="B15" i="6"/>
  <c r="E14" i="6"/>
  <c r="C14" i="6"/>
  <c r="B14" i="6"/>
  <c r="D23" i="7"/>
  <c r="D22" i="7"/>
  <c r="Z10" i="7"/>
  <c r="W10" i="7"/>
  <c r="N10" i="7"/>
  <c r="K10" i="7"/>
  <c r="AA8" i="7"/>
  <c r="U8" i="7"/>
  <c r="T8" i="7"/>
  <c r="S8" i="7"/>
  <c r="Q8" i="7"/>
  <c r="P8" i="7"/>
  <c r="V8" i="7" s="1"/>
  <c r="X8" i="7" s="1"/>
  <c r="Y8" i="7" s="1"/>
  <c r="O8" i="7"/>
  <c r="H8" i="7"/>
  <c r="I8" i="7" s="1"/>
  <c r="J8" i="7" s="1"/>
  <c r="L8" i="7" s="1"/>
  <c r="M8" i="7" s="1"/>
  <c r="G8" i="7"/>
  <c r="E8" i="7"/>
  <c r="D8" i="7"/>
  <c r="AA7" i="7"/>
  <c r="U7" i="7"/>
  <c r="T7" i="7"/>
  <c r="S7" i="7"/>
  <c r="Q7" i="7"/>
  <c r="P7" i="7"/>
  <c r="V7" i="7" s="1"/>
  <c r="X7" i="7" s="1"/>
  <c r="Y7" i="7" s="1"/>
  <c r="O7" i="7"/>
  <c r="H7" i="7"/>
  <c r="I7" i="7" s="1"/>
  <c r="J7" i="7" s="1"/>
  <c r="L7" i="7" s="1"/>
  <c r="M7" i="7" s="1"/>
  <c r="G7" i="7"/>
  <c r="E7" i="7"/>
  <c r="D7" i="7"/>
  <c r="AA6" i="7"/>
  <c r="S6" i="7"/>
  <c r="R6" i="7"/>
  <c r="T6" i="7" s="1"/>
  <c r="U6" i="7" s="1"/>
  <c r="Q6" i="7"/>
  <c r="P6" i="7"/>
  <c r="O6" i="7"/>
  <c r="H6" i="7"/>
  <c r="I6" i="7" s="1"/>
  <c r="G6" i="7"/>
  <c r="F6" i="7"/>
  <c r="E6" i="7"/>
  <c r="J6" i="7" s="1"/>
  <c r="L6" i="7" s="1"/>
  <c r="M6" i="7" s="1"/>
  <c r="D6" i="7"/>
  <c r="AA5" i="7"/>
  <c r="V5" i="7"/>
  <c r="X5" i="7" s="1"/>
  <c r="Y5" i="7" s="1"/>
  <c r="U5" i="7"/>
  <c r="T5" i="7"/>
  <c r="S5" i="7"/>
  <c r="R5" i="7"/>
  <c r="Q5" i="7"/>
  <c r="P5" i="7"/>
  <c r="O5" i="7"/>
  <c r="L5" i="7"/>
  <c r="M5" i="7" s="1"/>
  <c r="J5" i="7"/>
  <c r="F5" i="7"/>
  <c r="H5" i="7" s="1"/>
  <c r="I5" i="7" s="1"/>
  <c r="E5" i="7"/>
  <c r="D5" i="7"/>
  <c r="AA4" i="7"/>
  <c r="AA10" i="7" s="1"/>
  <c r="R4" i="7"/>
  <c r="S4" i="7" s="1"/>
  <c r="Q4" i="7"/>
  <c r="P4" i="7"/>
  <c r="O4" i="7"/>
  <c r="O10" i="7" s="1"/>
  <c r="H4" i="7"/>
  <c r="I4" i="7" s="1"/>
  <c r="G4" i="7"/>
  <c r="E4" i="7"/>
  <c r="D4" i="7"/>
  <c r="J4" i="7" s="1"/>
  <c r="L4" i="7" s="1"/>
  <c r="V8" i="6"/>
  <c r="V7" i="6"/>
  <c r="V6" i="6"/>
  <c r="V5" i="6"/>
  <c r="V4" i="6"/>
  <c r="D23" i="6"/>
  <c r="D22" i="6"/>
  <c r="Z10" i="6"/>
  <c r="W10" i="6"/>
  <c r="N10" i="6"/>
  <c r="K10" i="6"/>
  <c r="AA8" i="6"/>
  <c r="U8" i="6"/>
  <c r="T8" i="6"/>
  <c r="S8" i="6"/>
  <c r="Q8" i="6"/>
  <c r="P8" i="6"/>
  <c r="O8" i="6"/>
  <c r="H8" i="6"/>
  <c r="I8" i="6" s="1"/>
  <c r="G8" i="6"/>
  <c r="E8" i="6"/>
  <c r="J8" i="6" s="1"/>
  <c r="L8" i="6" s="1"/>
  <c r="M8" i="6" s="1"/>
  <c r="D8" i="6"/>
  <c r="AA7" i="6"/>
  <c r="U7" i="6"/>
  <c r="T7" i="6"/>
  <c r="S7" i="6"/>
  <c r="Q7" i="6"/>
  <c r="P7" i="6"/>
  <c r="O7" i="6"/>
  <c r="I7" i="6"/>
  <c r="H7" i="6"/>
  <c r="G7" i="6"/>
  <c r="E7" i="6"/>
  <c r="D7" i="6"/>
  <c r="J7" i="6" s="1"/>
  <c r="L7" i="6" s="1"/>
  <c r="M7" i="6" s="1"/>
  <c r="AA6" i="6"/>
  <c r="R6" i="6"/>
  <c r="T6" i="6" s="1"/>
  <c r="U6" i="6" s="1"/>
  <c r="Q6" i="6"/>
  <c r="P6" i="6"/>
  <c r="O6" i="6"/>
  <c r="G6" i="6"/>
  <c r="F6" i="6"/>
  <c r="H6" i="6" s="1"/>
  <c r="I6" i="6" s="1"/>
  <c r="E6" i="6"/>
  <c r="D6" i="6"/>
  <c r="AA5" i="6"/>
  <c r="S5" i="6"/>
  <c r="R5" i="6"/>
  <c r="T5" i="6" s="1"/>
  <c r="U5" i="6" s="1"/>
  <c r="Q5" i="6"/>
  <c r="P5" i="6"/>
  <c r="O5" i="6"/>
  <c r="L5" i="6"/>
  <c r="M5" i="6" s="1"/>
  <c r="J5" i="6"/>
  <c r="I5" i="6"/>
  <c r="H5" i="6"/>
  <c r="F5" i="6"/>
  <c r="G5" i="6" s="1"/>
  <c r="E5" i="6"/>
  <c r="D5" i="6"/>
  <c r="AA4" i="6"/>
  <c r="R4" i="6"/>
  <c r="T4" i="6" s="1"/>
  <c r="U4" i="6" s="1"/>
  <c r="Q4" i="6"/>
  <c r="P4" i="6"/>
  <c r="O4" i="6"/>
  <c r="H4" i="6"/>
  <c r="I4" i="6" s="1"/>
  <c r="G4" i="6"/>
  <c r="E4" i="6"/>
  <c r="D4" i="6"/>
  <c r="J4" i="6" s="1"/>
  <c r="L4" i="6" s="1"/>
  <c r="Q8" i="2"/>
  <c r="Q7" i="2"/>
  <c r="E8" i="2"/>
  <c r="E7" i="2"/>
  <c r="E6" i="2"/>
  <c r="Q6" i="2"/>
  <c r="Q5" i="2"/>
  <c r="Q4" i="2"/>
  <c r="M4" i="7" l="1"/>
  <c r="M10" i="7" s="1"/>
  <c r="L10" i="7"/>
  <c r="V6" i="7"/>
  <c r="X6" i="7" s="1"/>
  <c r="Y6" i="7" s="1"/>
  <c r="T4" i="7"/>
  <c r="U4" i="7" s="1"/>
  <c r="V4" i="7" s="1"/>
  <c r="X4" i="7" s="1"/>
  <c r="G5" i="7"/>
  <c r="AA10" i="6"/>
  <c r="X8" i="6"/>
  <c r="Y8" i="6" s="1"/>
  <c r="X7" i="6"/>
  <c r="Y7" i="6" s="1"/>
  <c r="O10" i="6"/>
  <c r="X5" i="6"/>
  <c r="Y5" i="6" s="1"/>
  <c r="M4" i="6"/>
  <c r="J6" i="6"/>
  <c r="L6" i="6" s="1"/>
  <c r="M6" i="6" s="1"/>
  <c r="S4" i="6"/>
  <c r="X4" i="6" s="1"/>
  <c r="S6" i="6"/>
  <c r="X6" i="6" s="1"/>
  <c r="Y6" i="6" s="1"/>
  <c r="X10" i="7" l="1"/>
  <c r="Y4" i="7"/>
  <c r="Y10" i="7" s="1"/>
  <c r="X10" i="6"/>
  <c r="Y4" i="6"/>
  <c r="Y10" i="6" s="1"/>
  <c r="L10" i="6"/>
  <c r="M10" i="6"/>
  <c r="D23" i="2" l="1"/>
  <c r="D22" i="2"/>
  <c r="Z10" i="2"/>
  <c r="E15" i="2" s="1"/>
  <c r="W10" i="2"/>
  <c r="B15" i="2" s="1"/>
  <c r="N10" i="2"/>
  <c r="E14" i="2" s="1"/>
  <c r="E16" i="2" s="1"/>
  <c r="K10" i="2"/>
  <c r="B14" i="2" s="1"/>
  <c r="B16" i="2" s="1"/>
  <c r="AA8" i="2"/>
  <c r="T8" i="2"/>
  <c r="U8" i="2" s="1"/>
  <c r="S8" i="2"/>
  <c r="P8" i="2"/>
  <c r="V8" i="2" s="1"/>
  <c r="X8" i="2" s="1"/>
  <c r="Y8" i="2" s="1"/>
  <c r="O8" i="2"/>
  <c r="H8" i="2"/>
  <c r="I8" i="2" s="1"/>
  <c r="G8" i="2"/>
  <c r="D8" i="2"/>
  <c r="J8" i="2" s="1"/>
  <c r="AA7" i="2"/>
  <c r="T7" i="2"/>
  <c r="U7" i="2" s="1"/>
  <c r="S7" i="2"/>
  <c r="P7" i="2"/>
  <c r="O7" i="2"/>
  <c r="H7" i="2"/>
  <c r="I7" i="2" s="1"/>
  <c r="G7" i="2"/>
  <c r="D7" i="2"/>
  <c r="AA6" i="2"/>
  <c r="R6" i="2"/>
  <c r="P6" i="2"/>
  <c r="O6" i="2"/>
  <c r="F6" i="2"/>
  <c r="D6" i="2"/>
  <c r="AA5" i="2"/>
  <c r="R5" i="2"/>
  <c r="P5" i="2"/>
  <c r="O5" i="2"/>
  <c r="F5" i="2"/>
  <c r="E5" i="2"/>
  <c r="D5" i="2"/>
  <c r="AA4" i="2"/>
  <c r="R4" i="2"/>
  <c r="P4" i="2"/>
  <c r="O4" i="2"/>
  <c r="I4" i="2"/>
  <c r="G4" i="2"/>
  <c r="E4" i="2"/>
  <c r="D4" i="2"/>
  <c r="V7" i="2" l="1"/>
  <c r="X7" i="2" s="1"/>
  <c r="Y7" i="2" s="1"/>
  <c r="J7" i="2"/>
  <c r="L7" i="2" s="1"/>
  <c r="M7" i="2" s="1"/>
  <c r="L8" i="2"/>
  <c r="M8" i="2" s="1"/>
  <c r="J4" i="2"/>
  <c r="AA10" i="2"/>
  <c r="O10" i="2"/>
  <c r="T4" i="2"/>
  <c r="U4" i="2" s="1"/>
  <c r="S4" i="2"/>
  <c r="H5" i="2"/>
  <c r="I5" i="2" s="1"/>
  <c r="G5" i="2"/>
  <c r="T5" i="2"/>
  <c r="U5" i="2" s="1"/>
  <c r="V5" i="2" s="1"/>
  <c r="X5" i="2" s="1"/>
  <c r="Y5" i="2" s="1"/>
  <c r="S5" i="2"/>
  <c r="H6" i="2"/>
  <c r="I6" i="2" s="1"/>
  <c r="G6" i="2"/>
  <c r="T6" i="2"/>
  <c r="U6" i="2" s="1"/>
  <c r="S6" i="2"/>
  <c r="F16" i="2"/>
  <c r="J5" i="2" l="1"/>
  <c r="L5" i="2" s="1"/>
  <c r="M5" i="2" s="1"/>
  <c r="V6" i="2"/>
  <c r="X6" i="2" s="1"/>
  <c r="Y6" i="2" s="1"/>
  <c r="J6" i="2"/>
  <c r="V4" i="2"/>
  <c r="X4" i="2" s="1"/>
  <c r="Y4" i="2" s="1"/>
  <c r="L4" i="2"/>
  <c r="M4" i="2" s="1"/>
  <c r="L6" i="2"/>
  <c r="X10" i="2" l="1"/>
  <c r="Y10" i="2"/>
  <c r="C15" i="2" s="1"/>
  <c r="M6" i="2"/>
  <c r="M10" i="2" s="1"/>
  <c r="C14" i="2" s="1"/>
  <c r="L10" i="2"/>
  <c r="C16" i="2" l="1"/>
  <c r="D16" i="2" s="1"/>
  <c r="G16" i="2" s="1"/>
  <c r="H16" i="2" s="1"/>
</calcChain>
</file>

<file path=xl/sharedStrings.xml><?xml version="1.0" encoding="utf-8"?>
<sst xmlns="http://schemas.openxmlformats.org/spreadsheetml/2006/main" count="223" uniqueCount="66">
  <si>
    <t>Art. 25.4 GBER</t>
  </si>
  <si>
    <t>Maggiorazioni per PMI</t>
  </si>
  <si>
    <t>Altre maggiorazioni ex art. 25.6 del GBER</t>
  </si>
  <si>
    <t>Ricerca Ind.le</t>
  </si>
  <si>
    <t>Sviluppo Sper.le</t>
  </si>
  <si>
    <t>PMI ex art. 25.6.a) del GBER</t>
  </si>
  <si>
    <t>Altre maggiorazioni ex art. 25.6.b) del GBER</t>
  </si>
  <si>
    <t>Altre maggiorazioni ex art. 25.6.d) del GBER</t>
  </si>
  <si>
    <t>Operatore NON economico</t>
  </si>
  <si>
    <t>Max</t>
  </si>
  <si>
    <t>Micro impresa</t>
  </si>
  <si>
    <t>-</t>
  </si>
  <si>
    <t>Piccola impresa</t>
  </si>
  <si>
    <t>Media impresa</t>
  </si>
  <si>
    <t>Grande impresa</t>
  </si>
  <si>
    <t>Componente dell'aggregazione del Soggetto proponente</t>
  </si>
  <si>
    <t>Denominazione</t>
  </si>
  <si>
    <t>Tipologia soggetto</t>
  </si>
  <si>
    <t>AGEVOLAZIONI PER Progetto di Ricerca Industriale (PRI)</t>
  </si>
  <si>
    <t>AGEVOLAZIONI PER Progetto di Sviluppo Sperimentale (PSS)</t>
  </si>
  <si>
    <t>Intensità di aiuto di riferimento</t>
  </si>
  <si>
    <t>Maggiorazione per PMI ex art. 25.6.a) GBER</t>
  </si>
  <si>
    <t>Maggiorazione ex art. 25.6.c GBER (aree 107.3.a)*</t>
  </si>
  <si>
    <t>Altre maggiorazioni ex art. 25.6.b) del GBER*</t>
  </si>
  <si>
    <t>Massimale intensità d'aiuto concedibile</t>
  </si>
  <si>
    <t>Totale costo ammissibile PRI</t>
  </si>
  <si>
    <t>Contributo massimo concedibile</t>
  </si>
  <si>
    <t>Cofinanziamento minimo</t>
  </si>
  <si>
    <t>Cofinanziamento proposto</t>
  </si>
  <si>
    <t>Contributo pubblico rideterminato</t>
  </si>
  <si>
    <t>Totale costo ammissibile PSS</t>
  </si>
  <si>
    <t>VERO/FALSO</t>
  </si>
  <si>
    <t>Maggiorazione</t>
  </si>
  <si>
    <t>Partner 1 - Capofila</t>
  </si>
  <si>
    <t>A</t>
  </si>
  <si>
    <t>Partner 2</t>
  </si>
  <si>
    <t>b</t>
  </si>
  <si>
    <t>Partner 3</t>
  </si>
  <si>
    <t>C</t>
  </si>
  <si>
    <t>Partner 4</t>
  </si>
  <si>
    <t>D</t>
  </si>
  <si>
    <t>Partner 5</t>
  </si>
  <si>
    <t>e</t>
  </si>
  <si>
    <t>* le maggiorazioni di cui all'art. 25.6.b e 25.6.c del GBER non possono essere combinate tra loro. È possibile, pertanto, selezionare solo una delle due opzioni. Vero =SI _ falso = NO)</t>
  </si>
  <si>
    <t>Totale PRI</t>
  </si>
  <si>
    <t>Totale PSS</t>
  </si>
  <si>
    <t>Cofinanziamento nominale</t>
  </si>
  <si>
    <t>Differenza</t>
  </si>
  <si>
    <t>Punteggio</t>
  </si>
  <si>
    <t>Costo progetto</t>
  </si>
  <si>
    <t>Importo</t>
  </si>
  <si>
    <t>%</t>
  </si>
  <si>
    <t>PRI</t>
  </si>
  <si>
    <t>PSS</t>
  </si>
  <si>
    <t>Totale progetto</t>
  </si>
  <si>
    <t>Istruzioni per la compilazione:</t>
  </si>
  <si>
    <t>1. Compilare le colonne A, B, e C, quest'ultima individuando dal menù a tendina la dimensione del componente dell'aggregazione</t>
  </si>
  <si>
    <t>2. Valorizzare le colonne N ed Y inserento il cofinanziamento proposto</t>
  </si>
  <si>
    <t>NB</t>
  </si>
  <si>
    <t>Nel caso in esame il cofinanziamento proposto è uguale al cofinanziamento “minimo”. La cella “punteggio” restituisce il valore 16 (soglia minima indicata per il Criterio 1 nell’appendice 1 all’Avviso).</t>
  </si>
  <si>
    <t>B</t>
  </si>
  <si>
    <t>E</t>
  </si>
  <si>
    <t>Nel caso in esame il cofinanziamento proposto è stato aumentato rispetto al cofinanziamento “minimo”. La cella “punteggio” restituisce un punteggio superiore superiore alla soglia minima indicata per il Criterio 1 nell’appendice 1 all’Avviso.</t>
  </si>
  <si>
    <t>N.A.</t>
  </si>
  <si>
    <t>* le maggiorazioni di cui all'art. 25.6.b e 25.6.c del GBER non possono essere combinate tra loro. È possibile, pertanto, selezionare solo una delle due opzioni. Vero =SI _ falso = NO).</t>
  </si>
  <si>
    <t>Nel caso in cui il soggetto richiedente non intenda usufruire delle maggiorazioni di cui all'art. 25.6.b) GBER, deve utilizzare la sola maggiorazione prevista dall'art. 25.6.c).
Le celle evidenziate in giallo sono le uniche a poter essere valorizzate.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</si>
</sst>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O&quot;;&quot;VERO&quot;;&quot;FALSO&quot;"/>
    <numFmt numFmtId="165" formatCode="_-* #,##0.00&quot; €&quot;_-;\-* #,##0.00&quot; €&quot;_-;_-* \-??&quot; €&quot;_-;_-@_-"/>
  </numFmts>
  <fonts count="10" x14ac:knownFonts="1">
    <font>
      <sz val="11"/>
      <color theme="1"/>
      <name val="Aptos Narrow"/>
      <family val="2"/>
      <charset val="1"/>
    </font>
    <font>
      <b/>
      <sz val="11"/>
      <color theme="1"/>
      <name val="Aptos Narrow"/>
      <family val="2"/>
      <charset val="1"/>
    </font>
    <font>
      <b/>
      <i/>
      <sz val="11"/>
      <color theme="1"/>
      <name val="Aptos Narrow"/>
      <family val="2"/>
      <charset val="1"/>
    </font>
    <font>
      <sz val="10"/>
      <color theme="1"/>
      <name val="Aptos Narrow"/>
      <family val="2"/>
      <charset val="1"/>
    </font>
    <font>
      <b/>
      <sz val="10"/>
      <color theme="1"/>
      <name val="Aptos Narrow"/>
      <family val="2"/>
      <charset val="1"/>
    </font>
    <font>
      <b/>
      <i/>
      <sz val="10"/>
      <color theme="1"/>
      <name val="Aptos Narrow"/>
      <family val="2"/>
      <charset val="1"/>
    </font>
    <font>
      <i/>
      <sz val="10"/>
      <color theme="1"/>
      <name val="Aptos Narrow"/>
      <family val="2"/>
      <charset val="1"/>
    </font>
    <font>
      <sz val="10"/>
      <color theme="0"/>
      <name val="Aptos Narrow"/>
      <family val="2"/>
      <charset val="1"/>
    </font>
    <font>
      <sz val="11"/>
      <color theme="1"/>
      <name val="Aptos Narrow"/>
      <family val="2"/>
      <charset val="1"/>
    </font>
    <font>
      <i/>
      <sz val="10"/>
      <color theme="1"/>
      <name val="Aptos Narrow"/>
      <family val="2"/>
    </font>
  </fonts>
  <fills count="9">
    <fill>
      <patternFill patternType="none"/>
    </fill>
    <fill>
      <patternFill patternType="gray125"/>
    </fill>
    <fill>
      <patternFill patternType="solid">
        <fgColor theme="2" tint="-9.9978637043366805E-2"/>
        <bgColor rgb="FFC0C0C0"/>
      </patternFill>
    </fill>
    <fill>
      <patternFill patternType="solid">
        <fgColor theme="7" tint="0.79989013336588644"/>
        <bgColor rgb="FFCCFFFF"/>
      </patternFill>
    </fill>
    <fill>
      <patternFill patternType="solid">
        <fgColor theme="5" tint="0.79989013336588644"/>
        <bgColor rgb="FFFFC7CE"/>
      </patternFill>
    </fill>
    <fill>
      <patternFill patternType="solid">
        <fgColor rgb="FFFFFF00"/>
        <bgColor rgb="FFFFFF00"/>
      </patternFill>
    </fill>
    <fill>
      <patternFill patternType="solid">
        <fgColor theme="5" tint="0.79998168889431442"/>
        <bgColor rgb="FFCCFFFF"/>
      </patternFill>
    </fill>
    <fill>
      <patternFill patternType="solid">
        <fgColor rgb="FFFFFF00"/>
        <bgColor rgb="FFFFC7CE"/>
      </patternFill>
    </fill>
    <fill>
      <patternFill patternType="solid">
        <fgColor rgb="FFFFFF00"/>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3">
    <xf numFmtId="0" fontId="0" fillId="0" borderId="0"/>
    <xf numFmtId="165" fontId="8" fillId="0" borderId="0" applyBorder="0" applyProtection="0"/>
    <xf numFmtId="9" fontId="8" fillId="0" borderId="0" applyBorder="0" applyProtection="0"/>
  </cellStyleXfs>
  <cellXfs count="64">
    <xf numFmtId="0" fontId="0" fillId="0" borderId="0" xfId="0"/>
    <xf numFmtId="0" fontId="4"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wrapText="1"/>
    </xf>
    <xf numFmtId="0" fontId="1" fillId="0" borderId="0" xfId="0" applyFont="1" applyAlignment="1">
      <alignment horizontal="right"/>
    </xf>
    <xf numFmtId="9" fontId="0" fillId="0" borderId="1" xfId="0" applyNumberFormat="1" applyBorder="1" applyAlignment="1">
      <alignment horizontal="center" wrapText="1"/>
    </xf>
    <xf numFmtId="9" fontId="0" fillId="0" borderId="1" xfId="0" applyNumberFormat="1" applyBorder="1" applyAlignment="1">
      <alignment horizontal="center"/>
    </xf>
    <xf numFmtId="0" fontId="0" fillId="0" borderId="1" xfId="0" applyBorder="1" applyAlignment="1">
      <alignment horizontal="center" wrapText="1"/>
    </xf>
    <xf numFmtId="0" fontId="3" fillId="0" borderId="0" xfId="0" applyFont="1"/>
    <xf numFmtId="0" fontId="5" fillId="3" borderId="1" xfId="0" applyFont="1" applyFill="1" applyBorder="1" applyAlignment="1">
      <alignment horizontal="center"/>
    </xf>
    <xf numFmtId="0" fontId="5" fillId="4" borderId="1" xfId="0" applyFont="1" applyFill="1" applyBorder="1" applyAlignment="1">
      <alignment horizontal="center"/>
    </xf>
    <xf numFmtId="0" fontId="3" fillId="2" borderId="1" xfId="0" applyFont="1" applyFill="1" applyBorder="1" applyAlignment="1">
      <alignment horizontal="right"/>
    </xf>
    <xf numFmtId="9" fontId="3" fillId="3" borderId="1" xfId="2" applyFont="1" applyFill="1" applyBorder="1" applyAlignment="1" applyProtection="1">
      <alignment horizontal="center"/>
    </xf>
    <xf numFmtId="164" fontId="3" fillId="3" borderId="1" xfId="0" applyNumberFormat="1" applyFont="1" applyFill="1" applyBorder="1"/>
    <xf numFmtId="165" fontId="3" fillId="5" borderId="1" xfId="1" applyFont="1" applyFill="1" applyBorder="1" applyProtection="1"/>
    <xf numFmtId="165" fontId="3" fillId="3" borderId="1" xfId="0" applyNumberFormat="1" applyFont="1" applyFill="1" applyBorder="1"/>
    <xf numFmtId="165" fontId="4" fillId="5" borderId="1" xfId="0" applyNumberFormat="1" applyFont="1" applyFill="1" applyBorder="1"/>
    <xf numFmtId="9" fontId="3" fillId="4" borderId="1" xfId="2" applyFont="1" applyFill="1" applyBorder="1" applyAlignment="1" applyProtection="1">
      <alignment horizontal="center"/>
    </xf>
    <xf numFmtId="165" fontId="3" fillId="4" borderId="1" xfId="0" applyNumberFormat="1" applyFont="1" applyFill="1" applyBorder="1"/>
    <xf numFmtId="0" fontId="3" fillId="3" borderId="1" xfId="0" applyFont="1" applyFill="1" applyBorder="1"/>
    <xf numFmtId="0" fontId="3" fillId="4" borderId="1" xfId="0" applyFont="1" applyFill="1" applyBorder="1"/>
    <xf numFmtId="0" fontId="6" fillId="0" borderId="0" xfId="0" applyFont="1"/>
    <xf numFmtId="0" fontId="4" fillId="0" borderId="0" xfId="0" applyFont="1" applyAlignment="1">
      <alignment horizontal="right"/>
    </xf>
    <xf numFmtId="165" fontId="4" fillId="0" borderId="0" xfId="0" applyNumberFormat="1" applyFont="1"/>
    <xf numFmtId="0" fontId="4" fillId="0" borderId="0" xfId="0" applyFont="1"/>
    <xf numFmtId="0" fontId="3" fillId="0" borderId="0" xfId="0" applyFont="1" applyAlignment="1">
      <alignment horizontal="right"/>
    </xf>
    <xf numFmtId="0" fontId="4" fillId="0" borderId="1" xfId="0" applyFont="1" applyBorder="1"/>
    <xf numFmtId="0" fontId="5" fillId="0" borderId="1" xfId="0" applyFont="1" applyBorder="1" applyAlignment="1">
      <alignment horizontal="center"/>
    </xf>
    <xf numFmtId="0" fontId="3" fillId="0" borderId="1" xfId="0" applyFont="1" applyBorder="1"/>
    <xf numFmtId="165" fontId="3" fillId="0" borderId="1" xfId="0" applyNumberFormat="1" applyFont="1" applyBorder="1"/>
    <xf numFmtId="0" fontId="3" fillId="0" borderId="3" xfId="0" applyFont="1" applyBorder="1" applyAlignment="1">
      <alignment horizontal="center"/>
    </xf>
    <xf numFmtId="165" fontId="3" fillId="0" borderId="3" xfId="0" applyNumberFormat="1" applyFont="1" applyBorder="1" applyAlignment="1">
      <alignment horizontal="center"/>
    </xf>
    <xf numFmtId="9" fontId="3" fillId="0" borderId="0" xfId="2" applyFont="1" applyBorder="1" applyProtection="1"/>
    <xf numFmtId="165" fontId="4" fillId="0" borderId="1" xfId="0" applyNumberFormat="1" applyFont="1" applyBorder="1"/>
    <xf numFmtId="10" fontId="4" fillId="0" borderId="1" xfId="2" applyNumberFormat="1" applyFont="1" applyBorder="1" applyAlignment="1" applyProtection="1">
      <alignment horizontal="center"/>
    </xf>
    <xf numFmtId="10" fontId="4" fillId="0" borderId="1" xfId="0" applyNumberFormat="1" applyFont="1" applyBorder="1" applyAlignment="1">
      <alignment horizontal="center"/>
    </xf>
    <xf numFmtId="2" fontId="4" fillId="5" borderId="1" xfId="0" applyNumberFormat="1" applyFont="1" applyFill="1" applyBorder="1" applyAlignment="1">
      <alignment horizontal="center"/>
    </xf>
    <xf numFmtId="0" fontId="7" fillId="0" borderId="0" xfId="0" applyFont="1"/>
    <xf numFmtId="9" fontId="3" fillId="6" borderId="1" xfId="2" applyFont="1" applyFill="1" applyBorder="1" applyAlignment="1" applyProtection="1">
      <alignment horizontal="center"/>
    </xf>
    <xf numFmtId="0" fontId="3" fillId="5" borderId="1" xfId="0" applyFont="1" applyFill="1" applyBorder="1" applyAlignment="1">
      <alignment horizontal="center"/>
    </xf>
    <xf numFmtId="0" fontId="3" fillId="5" borderId="1" xfId="0" applyFont="1" applyFill="1" applyBorder="1" applyAlignment="1" applyProtection="1">
      <alignment horizontal="center"/>
      <protection locked="0"/>
    </xf>
    <xf numFmtId="165" fontId="3" fillId="5" borderId="1" xfId="1" applyFont="1" applyFill="1" applyBorder="1" applyProtection="1">
      <protection locked="0"/>
    </xf>
    <xf numFmtId="165" fontId="4" fillId="5" borderId="1" xfId="0" applyNumberFormat="1" applyFont="1" applyFill="1" applyBorder="1" applyProtection="1">
      <protection locked="0"/>
    </xf>
    <xf numFmtId="0" fontId="1" fillId="0" borderId="0" xfId="0" applyFont="1" applyAlignment="1">
      <alignment horizontal="center" wrapText="1"/>
    </xf>
    <xf numFmtId="0" fontId="1" fillId="0" borderId="0" xfId="0" applyFont="1" applyAlignment="1">
      <alignment horizontal="center"/>
    </xf>
    <xf numFmtId="0" fontId="4" fillId="4" borderId="1" xfId="0" applyFont="1" applyFill="1" applyBorder="1" applyAlignment="1">
      <alignment horizontal="center" wrapText="1"/>
    </xf>
    <xf numFmtId="0" fontId="4" fillId="0" borderId="0" xfId="0" applyFont="1" applyAlignment="1">
      <alignment horizontal="center"/>
    </xf>
    <xf numFmtId="0" fontId="4" fillId="4" borderId="2" xfId="0" applyFont="1" applyFill="1" applyBorder="1" applyAlignment="1">
      <alignment horizontal="center" wrapText="1"/>
    </xf>
    <xf numFmtId="0" fontId="4" fillId="6" borderId="1" xfId="0" applyFont="1" applyFill="1" applyBorder="1" applyAlignment="1">
      <alignment horizontal="center" wrapText="1"/>
    </xf>
    <xf numFmtId="0" fontId="4" fillId="0" borderId="4" xfId="0" applyFont="1" applyBorder="1" applyAlignment="1">
      <alignment horizontal="center"/>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3" fillId="4" borderId="1" xfId="0" applyFont="1" applyFill="1" applyBorder="1" applyProtection="1">
      <protection locked="0"/>
    </xf>
    <xf numFmtId="0" fontId="3" fillId="7" borderId="1" xfId="0" applyFont="1" applyFill="1" applyBorder="1" applyProtection="1">
      <protection locked="0"/>
    </xf>
    <xf numFmtId="164" fontId="3" fillId="8" borderId="1" xfId="0" applyNumberFormat="1" applyFont="1" applyFill="1" applyBorder="1" applyProtection="1">
      <protection locked="0"/>
    </xf>
    <xf numFmtId="0" fontId="3" fillId="8" borderId="1" xfId="0" applyFont="1" applyFill="1" applyBorder="1" applyProtection="1">
      <protection locked="0"/>
    </xf>
    <xf numFmtId="0" fontId="9" fillId="0" borderId="0" xfId="0" applyFont="1" applyAlignment="1">
      <alignment vertical="top" wrapText="1"/>
    </xf>
    <xf numFmtId="0" fontId="0" fillId="0" borderId="0" xfId="0" applyAlignment="1">
      <alignment vertical="top"/>
    </xf>
  </cellXfs>
  <cellStyles count="3">
    <cellStyle name="Normale" xfId="0" builtinId="0"/>
    <cellStyle name="Percentuale" xfId="2" builtinId="5"/>
    <cellStyle name="Valuta" xfId="1" builtinId="4"/>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BE3D6"/>
      <rgbColor rgb="FFCAEEFB"/>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zoomScaleNormal="100" workbookViewId="0">
      <selection activeCell="D5" sqref="D5"/>
    </sheetView>
  </sheetViews>
  <sheetFormatPr defaultColWidth="8.73046875" defaultRowHeight="14.25" x14ac:dyDescent="0.45"/>
  <cols>
    <col min="1" max="1" width="23.59765625" customWidth="1"/>
    <col min="2" max="2" width="9.59765625" style="3" customWidth="1"/>
    <col min="3" max="3" width="9" style="3" customWidth="1"/>
    <col min="4" max="4" width="20.1328125" style="3" customWidth="1"/>
    <col min="5" max="6" width="20.1328125" customWidth="1"/>
    <col min="7" max="7" width="15.265625" customWidth="1"/>
  </cols>
  <sheetData>
    <row r="1" spans="1:8" ht="14.25" customHeight="1" x14ac:dyDescent="0.45">
      <c r="B1" s="45" t="s">
        <v>0</v>
      </c>
      <c r="C1" s="45"/>
      <c r="D1" s="2" t="s">
        <v>1</v>
      </c>
      <c r="E1" s="46" t="s">
        <v>2</v>
      </c>
      <c r="F1" s="46"/>
      <c r="G1" s="4"/>
    </row>
    <row r="2" spans="1:8" ht="28.5" customHeight="1" x14ac:dyDescent="0.45">
      <c r="B2" s="5" t="s">
        <v>3</v>
      </c>
      <c r="C2" s="5" t="s">
        <v>4</v>
      </c>
      <c r="D2" s="5" t="s">
        <v>5</v>
      </c>
      <c r="E2" s="5" t="s">
        <v>6</v>
      </c>
      <c r="F2" s="5" t="s">
        <v>7</v>
      </c>
      <c r="G2" s="5" t="s">
        <v>8</v>
      </c>
      <c r="H2" s="5" t="s">
        <v>9</v>
      </c>
    </row>
    <row r="3" spans="1:8" x14ac:dyDescent="0.45">
      <c r="A3" s="6" t="s">
        <v>10</v>
      </c>
      <c r="B3" s="7">
        <v>0.5</v>
      </c>
      <c r="C3" s="7">
        <v>0.25</v>
      </c>
      <c r="D3" s="7">
        <v>0.2</v>
      </c>
      <c r="E3" s="8">
        <v>0.15</v>
      </c>
      <c r="F3" s="8">
        <v>0.25</v>
      </c>
      <c r="G3" s="8" t="s">
        <v>11</v>
      </c>
      <c r="H3" s="8">
        <v>0.8</v>
      </c>
    </row>
    <row r="4" spans="1:8" x14ac:dyDescent="0.45">
      <c r="A4" s="6" t="s">
        <v>12</v>
      </c>
      <c r="B4" s="7">
        <v>0.5</v>
      </c>
      <c r="C4" s="7">
        <v>0.25</v>
      </c>
      <c r="D4" s="7">
        <v>0.2</v>
      </c>
      <c r="E4" s="8">
        <v>0.15</v>
      </c>
      <c r="F4" s="8">
        <v>0.25</v>
      </c>
      <c r="G4" s="8" t="s">
        <v>11</v>
      </c>
      <c r="H4" s="8">
        <v>0.8</v>
      </c>
    </row>
    <row r="5" spans="1:8" x14ac:dyDescent="0.45">
      <c r="A5" s="6" t="s">
        <v>13</v>
      </c>
      <c r="B5" s="7">
        <v>0.5</v>
      </c>
      <c r="C5" s="7">
        <v>0.25</v>
      </c>
      <c r="D5" s="7">
        <v>0.1</v>
      </c>
      <c r="E5" s="8">
        <v>0.15</v>
      </c>
      <c r="F5" s="8">
        <v>0.25</v>
      </c>
      <c r="G5" s="8" t="s">
        <v>11</v>
      </c>
      <c r="H5" s="8">
        <v>0.8</v>
      </c>
    </row>
    <row r="6" spans="1:8" x14ac:dyDescent="0.45">
      <c r="A6" s="6" t="s">
        <v>14</v>
      </c>
      <c r="B6" s="7">
        <v>0.5</v>
      </c>
      <c r="C6" s="7">
        <v>0.25</v>
      </c>
      <c r="D6" s="7">
        <v>0</v>
      </c>
      <c r="E6" s="8">
        <v>0.15</v>
      </c>
      <c r="F6" s="8">
        <v>0.25</v>
      </c>
      <c r="G6" s="8" t="s">
        <v>11</v>
      </c>
      <c r="H6" s="8">
        <v>0.8</v>
      </c>
    </row>
    <row r="7" spans="1:8" x14ac:dyDescent="0.45">
      <c r="A7" s="6" t="s">
        <v>8</v>
      </c>
      <c r="B7" s="9">
        <v>0</v>
      </c>
      <c r="C7" s="9">
        <v>0</v>
      </c>
      <c r="D7" s="9">
        <v>0</v>
      </c>
      <c r="E7" s="8">
        <v>0</v>
      </c>
      <c r="F7" s="8">
        <v>0</v>
      </c>
      <c r="G7" s="8">
        <v>1</v>
      </c>
      <c r="H7" s="8">
        <v>1</v>
      </c>
    </row>
  </sheetData>
  <mergeCells count="2">
    <mergeCell ref="B1:C1"/>
    <mergeCell ref="E1:F1"/>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showGridLines="0" tabSelected="1" topLeftCell="L1" zoomScaleNormal="100" workbookViewId="0">
      <selection activeCell="AC11" sqref="AC11"/>
    </sheetView>
  </sheetViews>
  <sheetFormatPr defaultColWidth="9" defaultRowHeight="13.15" x14ac:dyDescent="0.4"/>
  <cols>
    <col min="1" max="2" width="22" style="10" customWidth="1"/>
    <col min="3" max="3" width="20.3984375" style="10" customWidth="1"/>
    <col min="4" max="4" width="13.3984375" style="10" customWidth="1"/>
    <col min="5" max="5" width="16" style="10" customWidth="1"/>
    <col min="6" max="6" width="11" style="10" customWidth="1"/>
    <col min="7" max="7" width="13.3984375" style="10" customWidth="1"/>
    <col min="8" max="8" width="11" style="10" customWidth="1"/>
    <col min="9" max="10" width="13.3984375" style="10" customWidth="1"/>
    <col min="11" max="11" width="17.3984375" style="10" customWidth="1"/>
    <col min="12" max="12" width="15.1328125" style="10" customWidth="1"/>
    <col min="13" max="13" width="14.265625" style="10" customWidth="1"/>
    <col min="14" max="14" width="14.73046875" style="10" customWidth="1"/>
    <col min="15" max="15" width="17.265625" style="10" customWidth="1"/>
    <col min="16" max="19" width="13.1328125" style="10" customWidth="1"/>
    <col min="20" max="20" width="10.9296875" style="10" bestFit="1" customWidth="1"/>
    <col min="21" max="22" width="13.1328125" style="10" customWidth="1"/>
    <col min="23" max="23" width="16.1328125" style="10" customWidth="1"/>
    <col min="24" max="24" width="14.3984375" style="10" customWidth="1"/>
    <col min="25" max="25" width="15.73046875" style="10" customWidth="1"/>
    <col min="26" max="26" width="14.73046875" style="10" customWidth="1"/>
    <col min="27" max="27" width="15.73046875" style="10" customWidth="1"/>
    <col min="28" max="16384" width="9" style="10"/>
  </cols>
  <sheetData>
    <row r="1" spans="1:27" ht="12.75" customHeight="1" x14ac:dyDescent="0.4">
      <c r="A1" s="52" t="s">
        <v>15</v>
      </c>
      <c r="B1" s="53" t="s">
        <v>16</v>
      </c>
      <c r="C1" s="52" t="s">
        <v>17</v>
      </c>
      <c r="D1" s="54" t="s">
        <v>18</v>
      </c>
      <c r="E1" s="54"/>
      <c r="F1" s="54"/>
      <c r="G1" s="54"/>
      <c r="H1" s="54"/>
      <c r="I1" s="54"/>
      <c r="J1" s="54"/>
      <c r="K1" s="54"/>
      <c r="L1" s="54"/>
      <c r="M1" s="54"/>
      <c r="N1" s="54"/>
      <c r="O1" s="54"/>
      <c r="P1" s="55" t="s">
        <v>19</v>
      </c>
      <c r="Q1" s="55"/>
      <c r="R1" s="55"/>
      <c r="S1" s="55"/>
      <c r="T1" s="55"/>
      <c r="U1" s="55"/>
      <c r="V1" s="55"/>
      <c r="W1" s="55"/>
      <c r="X1" s="55"/>
      <c r="Y1" s="55"/>
      <c r="Z1" s="55"/>
      <c r="AA1" s="55"/>
    </row>
    <row r="2" spans="1:27" ht="29.25" customHeight="1" x14ac:dyDescent="0.4">
      <c r="A2" s="52"/>
      <c r="B2" s="53"/>
      <c r="C2" s="52"/>
      <c r="D2" s="56" t="s">
        <v>20</v>
      </c>
      <c r="E2" s="56" t="s">
        <v>21</v>
      </c>
      <c r="F2" s="57" t="s">
        <v>22</v>
      </c>
      <c r="G2" s="57"/>
      <c r="H2" s="56" t="s">
        <v>23</v>
      </c>
      <c r="I2" s="56"/>
      <c r="J2" s="56" t="s">
        <v>24</v>
      </c>
      <c r="K2" s="56" t="s">
        <v>25</v>
      </c>
      <c r="L2" s="56" t="s">
        <v>26</v>
      </c>
      <c r="M2" s="56" t="s">
        <v>27</v>
      </c>
      <c r="N2" s="56" t="s">
        <v>28</v>
      </c>
      <c r="O2" s="56" t="s">
        <v>29</v>
      </c>
      <c r="P2" s="47" t="s">
        <v>20</v>
      </c>
      <c r="Q2" s="50" t="s">
        <v>21</v>
      </c>
      <c r="R2" s="49" t="s">
        <v>22</v>
      </c>
      <c r="S2" s="49"/>
      <c r="T2" s="47" t="s">
        <v>23</v>
      </c>
      <c r="U2" s="47"/>
      <c r="V2" s="47" t="s">
        <v>24</v>
      </c>
      <c r="W2" s="47" t="s">
        <v>30</v>
      </c>
      <c r="X2" s="47" t="s">
        <v>26</v>
      </c>
      <c r="Y2" s="47" t="s">
        <v>27</v>
      </c>
      <c r="Z2" s="47" t="s">
        <v>28</v>
      </c>
      <c r="AA2" s="47" t="s">
        <v>29</v>
      </c>
    </row>
    <row r="3" spans="1:27" ht="12.75" customHeight="1" x14ac:dyDescent="0.4">
      <c r="A3" s="52"/>
      <c r="B3" s="53"/>
      <c r="C3" s="52"/>
      <c r="D3" s="56"/>
      <c r="E3" s="56"/>
      <c r="F3" s="11" t="s">
        <v>31</v>
      </c>
      <c r="G3" s="11" t="s">
        <v>32</v>
      </c>
      <c r="H3" s="11" t="s">
        <v>31</v>
      </c>
      <c r="I3" s="11" t="s">
        <v>32</v>
      </c>
      <c r="J3" s="56"/>
      <c r="K3" s="56"/>
      <c r="L3" s="56"/>
      <c r="M3" s="56"/>
      <c r="N3" s="56"/>
      <c r="O3" s="56"/>
      <c r="P3" s="47"/>
      <c r="Q3" s="50"/>
      <c r="R3" s="12" t="s">
        <v>31</v>
      </c>
      <c r="S3" s="12" t="s">
        <v>32</v>
      </c>
      <c r="T3" s="12" t="s">
        <v>31</v>
      </c>
      <c r="U3" s="12" t="s">
        <v>32</v>
      </c>
      <c r="V3" s="47"/>
      <c r="W3" s="47"/>
      <c r="X3" s="47"/>
      <c r="Y3" s="47"/>
      <c r="Z3" s="47"/>
      <c r="AA3" s="47"/>
    </row>
    <row r="4" spans="1:27" x14ac:dyDescent="0.4">
      <c r="A4" s="13" t="s">
        <v>33</v>
      </c>
      <c r="B4" s="42" t="s">
        <v>34</v>
      </c>
      <c r="C4" s="42" t="s">
        <v>14</v>
      </c>
      <c r="D4" s="14">
        <f>VLOOKUP($C4,Massimali!$A$3:$F$6,2,FALSE())</f>
        <v>0.5</v>
      </c>
      <c r="E4" s="14">
        <f>VLOOKUP($C4,Massimali!$A$3:$F$6,4,FALSE())</f>
        <v>0</v>
      </c>
      <c r="F4" s="60" t="b">
        <v>1</v>
      </c>
      <c r="G4" s="14">
        <f>IF((AND(F4=TRUE(),$C4&lt;&gt;"Operatore NON economico")),0.05,0)</f>
        <v>0.05</v>
      </c>
      <c r="H4" s="21" t="b">
        <f>NOT(F4)</f>
        <v>0</v>
      </c>
      <c r="I4" s="14">
        <f>IFERROR(IF(H4=TRUE(),VLOOKUP($C4,Massimali!$A$3:$F$6,5,FALSE()),0),"")</f>
        <v>0</v>
      </c>
      <c r="J4" s="14">
        <f>IF((D4+E4+I4+G4)&gt;0.8,0.8,(D4+E4+I4+G4))</f>
        <v>0.55000000000000004</v>
      </c>
      <c r="K4" s="43"/>
      <c r="L4" s="17">
        <f>K4*J4</f>
        <v>0</v>
      </c>
      <c r="M4" s="17">
        <f>K4-L4</f>
        <v>0</v>
      </c>
      <c r="N4" s="44"/>
      <c r="O4" s="17">
        <f>K4-N4</f>
        <v>0</v>
      </c>
      <c r="P4" s="19">
        <f>VLOOKUP($C4,Massimali!$A$3:$F$6,3,FALSE())</f>
        <v>0.25</v>
      </c>
      <c r="Q4" s="40">
        <f>VLOOKUP($C4,Massimali!$A$3:$F$6,4,FALSE())</f>
        <v>0</v>
      </c>
      <c r="R4" s="59" t="b">
        <f>TRUE()</f>
        <v>1</v>
      </c>
      <c r="S4" s="19">
        <f>IF((AND(R4=TRUE(),$C4&lt;&gt;"Operatore NON economico")),0.05,0)</f>
        <v>0.05</v>
      </c>
      <c r="T4" s="58" t="b">
        <f>NOT(R4)</f>
        <v>0</v>
      </c>
      <c r="U4" s="19">
        <f>IFERROR(IF(T4=TRUE(),VLOOKUP($C4,Massimali!$A$3:$F$6,5,FALSE()),0),"")</f>
        <v>0</v>
      </c>
      <c r="V4" s="40">
        <f>IF((P4+Q4+U4+S4)&gt;0.8,0.8,(P4+Q4+U4+S4))</f>
        <v>0.3</v>
      </c>
      <c r="W4" s="43"/>
      <c r="X4" s="20">
        <f>IFERROR(W4*V4,"")</f>
        <v>0</v>
      </c>
      <c r="Y4" s="20">
        <f>IFERROR(W4-X4,"")</f>
        <v>0</v>
      </c>
      <c r="Z4" s="44"/>
      <c r="AA4" s="20">
        <f>W4-Z4</f>
        <v>0</v>
      </c>
    </row>
    <row r="5" spans="1:27" x14ac:dyDescent="0.4">
      <c r="A5" s="13" t="s">
        <v>35</v>
      </c>
      <c r="B5" s="42" t="s">
        <v>60</v>
      </c>
      <c r="C5" s="42" t="s">
        <v>12</v>
      </c>
      <c r="D5" s="14">
        <f>IF($C5="Operatore NON economico",0,VLOOKUP($C5,Massimali!$A$3:$F$6,2,FALSE()))</f>
        <v>0.5</v>
      </c>
      <c r="E5" s="14">
        <f>IF($C5="Operatore NON economico",0,IF(C5="Grande impresa",0,IF(C5="Media impresa",0.1,0.2)))</f>
        <v>0.2</v>
      </c>
      <c r="F5" s="61" t="b">
        <f>FALSE()</f>
        <v>0</v>
      </c>
      <c r="G5" s="14">
        <f>IF((AND(F5=TRUE(),$C5&lt;&gt;"Operatore NON economico")),0.05,0)</f>
        <v>0</v>
      </c>
      <c r="H5" s="21" t="b">
        <f>NOT(F5)</f>
        <v>1</v>
      </c>
      <c r="I5" s="14">
        <f>IFERROR(IF(H5=TRUE(),VLOOKUP($C5,Massimali!$A$3:$F$6,5,FALSE()),0),"")</f>
        <v>0.15</v>
      </c>
      <c r="J5" s="14">
        <f>IF($C5="Operatore NON Economico",1,IF((D5+E5+I5+G5)&gt;0.8,0.8,(D5+E5+I5+G5)))</f>
        <v>0.8</v>
      </c>
      <c r="K5" s="43"/>
      <c r="L5" s="17">
        <f>K5*J5</f>
        <v>0</v>
      </c>
      <c r="M5" s="17">
        <f>K5-L5</f>
        <v>0</v>
      </c>
      <c r="N5" s="44"/>
      <c r="O5" s="17">
        <f>K5-N5</f>
        <v>0</v>
      </c>
      <c r="P5" s="19">
        <f>IF($C5="Operatore NON economico",0,VLOOKUP($C5,Massimali!$A$3:$F$6,3,FALSE()))</f>
        <v>0.25</v>
      </c>
      <c r="Q5" s="40">
        <f>IF($C5="Operatore NON economico",0,IF(O5="Grande impresa",0,IF(O5="Media impresa",0.1,0.2)))</f>
        <v>0.2</v>
      </c>
      <c r="R5" s="59" t="b">
        <f>FALSE()</f>
        <v>0</v>
      </c>
      <c r="S5" s="19">
        <f>IF((AND(R5=TRUE(),$C5&lt;&gt;"Operatore NON economico")),0.05,0)</f>
        <v>0</v>
      </c>
      <c r="T5" s="58" t="b">
        <f>NOT(R5)</f>
        <v>1</v>
      </c>
      <c r="U5" s="19">
        <f>IFERROR(IF(T5=TRUE(),VLOOKUP($C5,Massimali!$A$3:$F$6,5,FALSE()),0),"")</f>
        <v>0.15</v>
      </c>
      <c r="V5" s="40">
        <f>IF($C5="Operatore NON Economico",1,IF((P5+Q5+U5+S5)&gt;0.8,0.8,(P5+Q5+U5+S5)))</f>
        <v>0.6</v>
      </c>
      <c r="W5" s="43"/>
      <c r="X5" s="20">
        <f t="shared" ref="X5:X8" si="0">IFERROR(W5*V5,"")</f>
        <v>0</v>
      </c>
      <c r="Y5" s="20">
        <f t="shared" ref="Y5:Y8" si="1">IFERROR(W5-X5,"")</f>
        <v>0</v>
      </c>
      <c r="Z5" s="44"/>
      <c r="AA5" s="20">
        <f>W5-Z5</f>
        <v>0</v>
      </c>
    </row>
    <row r="6" spans="1:27" x14ac:dyDescent="0.4">
      <c r="A6" s="13" t="s">
        <v>37</v>
      </c>
      <c r="B6" s="42" t="s">
        <v>38</v>
      </c>
      <c r="C6" s="42" t="s">
        <v>10</v>
      </c>
      <c r="D6" s="14">
        <f>IF($C6="Operatore NON economico",0,VLOOKUP($C6,Massimali!$A$3:$F$6,2,FALSE()))</f>
        <v>0.5</v>
      </c>
      <c r="E6" s="14">
        <f>IF($C6="Operatore NON economico",0,IF($C6="Grande impresa",0,IF($C6="Media impresa",0.1,0.2)))</f>
        <v>0.2</v>
      </c>
      <c r="F6" s="61" t="b">
        <f>FALSE()</f>
        <v>0</v>
      </c>
      <c r="G6" s="14">
        <f>IF((AND(F6=TRUE(),$C6&lt;&gt;"Operatore NON economico")),0.05,0)</f>
        <v>0</v>
      </c>
      <c r="H6" s="21" t="b">
        <f>NOT(F6)</f>
        <v>1</v>
      </c>
      <c r="I6" s="14">
        <f>IFERROR(IF(H6=TRUE(),VLOOKUP($C6,Massimali!$A$3:$F$6,5,FALSE()),0),"")</f>
        <v>0.15</v>
      </c>
      <c r="J6" s="14">
        <f t="shared" ref="J6:J8" si="2">IF($C6="Operatore NON Economico",1,IF((D6+E6+I6+G6)&gt;0.8,0.8,(D6+E6+I6+G6)))</f>
        <v>0.8</v>
      </c>
      <c r="K6" s="43"/>
      <c r="L6" s="17">
        <f>K6*J6</f>
        <v>0</v>
      </c>
      <c r="M6" s="17">
        <f>K6-L6</f>
        <v>0</v>
      </c>
      <c r="N6" s="44"/>
      <c r="O6" s="17">
        <f>K6-N6</f>
        <v>0</v>
      </c>
      <c r="P6" s="19">
        <f>IF($C6="Operatore NON economico",0,VLOOKUP($C6,Massimali!$A$3:$F$6,3,FALSE()))</f>
        <v>0.25</v>
      </c>
      <c r="Q6" s="40">
        <f>IF($C6="Operatore NON economico",0,IF($C6="Grande impresa",0,IF($C6="Media impresa",0.1,0.2)))</f>
        <v>0.2</v>
      </c>
      <c r="R6" s="59" t="b">
        <f>FALSE()</f>
        <v>0</v>
      </c>
      <c r="S6" s="19">
        <f>IF((AND(R6=TRUE(),$C6&lt;&gt;"Operatore NON economico")),0.05,0)</f>
        <v>0</v>
      </c>
      <c r="T6" s="58" t="b">
        <f>NOT(R6)</f>
        <v>1</v>
      </c>
      <c r="U6" s="19">
        <f>IFERROR(IF(T6=TRUE(),VLOOKUP($C6,Massimali!$A$3:$F$6,5,FALSE()),0),"")</f>
        <v>0.15</v>
      </c>
      <c r="V6" s="40">
        <f t="shared" ref="V6:V8" si="3">IF($C6="Operatore NON Economico",1,IF((P6+Q6+U6+S6)&gt;0.8,0.8,(P6+Q6+U6+S6)))</f>
        <v>0.6</v>
      </c>
      <c r="W6" s="43"/>
      <c r="X6" s="20">
        <f t="shared" si="0"/>
        <v>0</v>
      </c>
      <c r="Y6" s="20">
        <f t="shared" si="1"/>
        <v>0</v>
      </c>
      <c r="Z6" s="44"/>
      <c r="AA6" s="20">
        <f>W6-Z6</f>
        <v>0</v>
      </c>
    </row>
    <row r="7" spans="1:27" x14ac:dyDescent="0.4">
      <c r="A7" s="13" t="s">
        <v>39</v>
      </c>
      <c r="B7" s="42" t="s">
        <v>40</v>
      </c>
      <c r="C7" s="42" t="s">
        <v>13</v>
      </c>
      <c r="D7" s="14">
        <f>IF($C7="Operatore NON economico",0,VLOOKUP($C7,Massimali!$A$3:$F$6,2,FALSE()))</f>
        <v>0.5</v>
      </c>
      <c r="E7" s="14">
        <f>IF($C7="Operatore NON economico",0,IF($C7="Grande impresa",0,IF($C7="Media impresa",0.1,0.2)))</f>
        <v>0.1</v>
      </c>
      <c r="F7" s="61"/>
      <c r="G7" s="14">
        <f>IF((AND(F7=TRUE(),$C7&lt;&gt;"Operatore NON economico")),0.05,0)</f>
        <v>0</v>
      </c>
      <c r="H7" s="21" t="b">
        <f>NOT(F7)</f>
        <v>1</v>
      </c>
      <c r="I7" s="14">
        <f>IFERROR(IF(H7=TRUE(),VLOOKUP($C7,Massimali!$A$3:$F$6,5,FALSE()),0),"")</f>
        <v>0.15</v>
      </c>
      <c r="J7" s="14">
        <f t="shared" si="2"/>
        <v>0.75</v>
      </c>
      <c r="K7" s="43"/>
      <c r="L7" s="17">
        <f>K7*J7</f>
        <v>0</v>
      </c>
      <c r="M7" s="17">
        <f>K7-L7</f>
        <v>0</v>
      </c>
      <c r="N7" s="44"/>
      <c r="O7" s="17">
        <f>K7-N7</f>
        <v>0</v>
      </c>
      <c r="P7" s="19">
        <f>IF($C7="Operatore NON economico",0,VLOOKUP($C7,Massimali!$A$3:$F$6,3,FALSE()))</f>
        <v>0.25</v>
      </c>
      <c r="Q7" s="40">
        <f>IF($C7="Operatore NON economico",0,IF($C7="Grande impresa",0,IF($C7="Media impresa",0.1,0.2)))</f>
        <v>0.1</v>
      </c>
      <c r="R7" s="59"/>
      <c r="S7" s="19">
        <f>IF((AND(R7=TRUE(),$C7&lt;&gt;"Operatore NON economico")),0.05,0)</f>
        <v>0</v>
      </c>
      <c r="T7" s="58" t="b">
        <f>NOT(R7)</f>
        <v>1</v>
      </c>
      <c r="U7" s="19">
        <f>IFERROR(IF(T7=TRUE(),VLOOKUP($C7,Massimali!$A$3:$F$6,5,FALSE()),0),"")</f>
        <v>0.15</v>
      </c>
      <c r="V7" s="40">
        <f t="shared" si="3"/>
        <v>0.5</v>
      </c>
      <c r="W7" s="43"/>
      <c r="X7" s="20">
        <f t="shared" si="0"/>
        <v>0</v>
      </c>
      <c r="Y7" s="20">
        <f t="shared" si="1"/>
        <v>0</v>
      </c>
      <c r="Z7" s="44"/>
      <c r="AA7" s="20">
        <f>W7-Z7</f>
        <v>0</v>
      </c>
    </row>
    <row r="8" spans="1:27" x14ac:dyDescent="0.4">
      <c r="A8" s="13" t="s">
        <v>41</v>
      </c>
      <c r="B8" s="42" t="s">
        <v>61</v>
      </c>
      <c r="C8" s="42" t="s">
        <v>8</v>
      </c>
      <c r="D8" s="14">
        <f>IF($C8="Operatore NON economico",0,VLOOKUP($C8,Massimali!$A$3:$F$6,2,FALSE()))</f>
        <v>0</v>
      </c>
      <c r="E8" s="14">
        <f>IF($C8="Operatore NON economico",0,IF($C8="Grande impresa",0,IF($C8="Media impresa",0.1,0.2)))</f>
        <v>0</v>
      </c>
      <c r="F8" s="61"/>
      <c r="G8" s="14">
        <f>IF((AND(F8=TRUE(),$C8&lt;&gt;"Operatore NON economico")),0.05,0)</f>
        <v>0</v>
      </c>
      <c r="H8" s="21" t="b">
        <f>NOT(F8)</f>
        <v>1</v>
      </c>
      <c r="I8" s="14" t="str">
        <f>IFERROR(IF(H8=TRUE(),VLOOKUP($C8,Massimali!$A$3:$F$6,5,FALSE()),0),"")</f>
        <v/>
      </c>
      <c r="J8" s="14">
        <f t="shared" si="2"/>
        <v>1</v>
      </c>
      <c r="K8" s="43"/>
      <c r="L8" s="17">
        <f>K8*J8</f>
        <v>0</v>
      </c>
      <c r="M8" s="17">
        <f>K8-L8</f>
        <v>0</v>
      </c>
      <c r="N8" s="44"/>
      <c r="O8" s="17">
        <f>K8-N8</f>
        <v>0</v>
      </c>
      <c r="P8" s="19">
        <f>IF($C8="Operatore NON economico",0,VLOOKUP($C8,Massimali!$A$3:$F$6,3,FALSE()))</f>
        <v>0</v>
      </c>
      <c r="Q8" s="40">
        <f>IF($C8="Operatore NON economico",0,IF($C8="Grande impresa",0,IF($C8="Media impresa",0.1,0.2)))</f>
        <v>0</v>
      </c>
      <c r="R8" s="59"/>
      <c r="S8" s="19">
        <f>IF((AND(R8=TRUE(),$C8&lt;&gt;"Operatore NON economico")),0.05,0)</f>
        <v>0</v>
      </c>
      <c r="T8" s="58" t="b">
        <f>NOT(R8)</f>
        <v>1</v>
      </c>
      <c r="U8" s="19" t="str">
        <f>IFERROR(IF(T8=TRUE(),VLOOKUP($C8,Massimali!$A$3:$F$6,5,FALSE()),0),"")</f>
        <v/>
      </c>
      <c r="V8" s="40">
        <f t="shared" si="3"/>
        <v>1</v>
      </c>
      <c r="W8" s="43"/>
      <c r="X8" s="20">
        <f t="shared" si="0"/>
        <v>0</v>
      </c>
      <c r="Y8" s="20">
        <f t="shared" si="1"/>
        <v>0</v>
      </c>
      <c r="Z8" s="44"/>
      <c r="AA8" s="20">
        <f>W8-Z8</f>
        <v>0</v>
      </c>
    </row>
    <row r="10" spans="1:27" x14ac:dyDescent="0.4">
      <c r="A10" s="23" t="s">
        <v>64</v>
      </c>
      <c r="C10" s="24"/>
      <c r="J10" s="24" t="s">
        <v>44</v>
      </c>
      <c r="K10" s="25">
        <f>SUM(K4:K8)</f>
        <v>0</v>
      </c>
      <c r="L10" s="25">
        <f>SUM(L4:L8)</f>
        <v>0</v>
      </c>
      <c r="M10" s="25">
        <f>SUM(M4:M8)</f>
        <v>0</v>
      </c>
      <c r="N10" s="25">
        <f>SUM(N4:N8)</f>
        <v>0</v>
      </c>
      <c r="O10" s="25">
        <f>SUM(O4:O8)</f>
        <v>0</v>
      </c>
      <c r="V10" s="24" t="s">
        <v>45</v>
      </c>
      <c r="W10" s="25">
        <f>SUM(W4:W8)</f>
        <v>0</v>
      </c>
      <c r="X10" s="25">
        <f>SUM(X4:X8)</f>
        <v>0</v>
      </c>
      <c r="Y10" s="25">
        <f>SUM(Y4:Y8)</f>
        <v>0</v>
      </c>
      <c r="Z10" s="25">
        <f>SUM(Z4:Z8)</f>
        <v>0</v>
      </c>
      <c r="AA10" s="25">
        <f>SUM(AA4:AA8)</f>
        <v>0</v>
      </c>
    </row>
    <row r="11" spans="1:27" ht="36.4" customHeight="1" x14ac:dyDescent="0.4">
      <c r="A11" s="62" t="s">
        <v>65</v>
      </c>
      <c r="B11" s="63"/>
      <c r="C11" s="63"/>
      <c r="D11" s="63"/>
      <c r="E11" s="63"/>
      <c r="F11" s="63"/>
      <c r="G11" s="63"/>
      <c r="H11" s="63"/>
    </row>
    <row r="12" spans="1:27" x14ac:dyDescent="0.4">
      <c r="C12" s="48" t="s">
        <v>46</v>
      </c>
      <c r="D12" s="48"/>
      <c r="E12" s="51" t="s">
        <v>28</v>
      </c>
      <c r="F12" s="51"/>
      <c r="G12" s="26" t="s">
        <v>47</v>
      </c>
      <c r="H12" s="26" t="s">
        <v>48</v>
      </c>
    </row>
    <row r="13" spans="1:27" x14ac:dyDescent="0.4">
      <c r="A13" s="27"/>
      <c r="B13" s="28" t="s">
        <v>49</v>
      </c>
      <c r="C13" s="29" t="s">
        <v>50</v>
      </c>
      <c r="D13" s="29" t="s">
        <v>51</v>
      </c>
      <c r="E13" s="29" t="s">
        <v>50</v>
      </c>
      <c r="F13" s="29" t="s">
        <v>51</v>
      </c>
      <c r="G13" s="30"/>
      <c r="H13" s="30"/>
    </row>
    <row r="14" spans="1:27" x14ac:dyDescent="0.4">
      <c r="A14" s="24" t="s">
        <v>52</v>
      </c>
      <c r="B14" s="31">
        <f>K10</f>
        <v>0</v>
      </c>
      <c r="C14" s="31">
        <f>M10</f>
        <v>0</v>
      </c>
      <c r="D14" s="32"/>
      <c r="E14" s="31">
        <f>N10</f>
        <v>0</v>
      </c>
      <c r="F14" s="32"/>
      <c r="G14" s="33"/>
      <c r="H14" s="32"/>
      <c r="K14" s="34"/>
      <c r="L14" s="34"/>
    </row>
    <row r="15" spans="1:27" x14ac:dyDescent="0.4">
      <c r="A15" s="24" t="s">
        <v>53</v>
      </c>
      <c r="B15" s="31">
        <f>W10</f>
        <v>0</v>
      </c>
      <c r="C15" s="31">
        <f>Y10</f>
        <v>0</v>
      </c>
      <c r="D15" s="32"/>
      <c r="E15" s="31">
        <f>Z10</f>
        <v>0</v>
      </c>
      <c r="F15" s="32"/>
      <c r="G15" s="32"/>
      <c r="H15" s="32"/>
    </row>
    <row r="16" spans="1:27" x14ac:dyDescent="0.4">
      <c r="A16" s="24" t="s">
        <v>54</v>
      </c>
      <c r="B16" s="35">
        <f>B14+B15</f>
        <v>0</v>
      </c>
      <c r="C16" s="35">
        <f>C14+C15</f>
        <v>0</v>
      </c>
      <c r="D16" s="36" t="str">
        <f>IFERROR(C16/B16,"")</f>
        <v/>
      </c>
      <c r="E16" s="35">
        <f>E14+E15</f>
        <v>0</v>
      </c>
      <c r="F16" s="36" t="str">
        <f>IFERROR(E16/B16,"")</f>
        <v/>
      </c>
      <c r="G16" s="37" t="str">
        <f>IFERROR(F16-D16,"")</f>
        <v/>
      </c>
      <c r="H16" s="38" t="str">
        <f>IFERROR(IF(G16*100&gt;4,20,G16*100+16),"")</f>
        <v/>
      </c>
    </row>
    <row r="18" spans="1:4" x14ac:dyDescent="0.4">
      <c r="A18" s="26" t="s">
        <v>55</v>
      </c>
    </row>
    <row r="19" spans="1:4" x14ac:dyDescent="0.4">
      <c r="A19" s="23" t="s">
        <v>56</v>
      </c>
    </row>
    <row r="20" spans="1:4" x14ac:dyDescent="0.4">
      <c r="A20" s="23" t="s">
        <v>57</v>
      </c>
    </row>
    <row r="22" spans="1:4" x14ac:dyDescent="0.4">
      <c r="D22" s="39" t="b">
        <f>TRUE()</f>
        <v>1</v>
      </c>
    </row>
    <row r="23" spans="1:4" x14ac:dyDescent="0.4">
      <c r="D23" s="39" t="b">
        <f>FALSE()</f>
        <v>0</v>
      </c>
    </row>
    <row r="24" spans="1:4" x14ac:dyDescent="0.4">
      <c r="A24" s="39" t="s">
        <v>63</v>
      </c>
    </row>
  </sheetData>
  <sheetProtection algorithmName="SHA-512" hashValue="X78fyYn+cLSJkSRU4aHJxK/sT76geJUZG8GElsE/V1wA3yOsXKHbe40GcyhELAD08+AIb8IWR89sDW8jl8HJUA==" saltValue="JSf99gs4rPX5Xu5Yj9Br9Q==" spinCount="100000" sheet="1" objects="1" scenarios="1"/>
  <mergeCells count="28">
    <mergeCell ref="A1:A3"/>
    <mergeCell ref="B1:B3"/>
    <mergeCell ref="C1:C3"/>
    <mergeCell ref="D1:O1"/>
    <mergeCell ref="P1:AA1"/>
    <mergeCell ref="D2:D3"/>
    <mergeCell ref="E2:E3"/>
    <mergeCell ref="F2:G2"/>
    <mergeCell ref="H2:I2"/>
    <mergeCell ref="J2:J3"/>
    <mergeCell ref="K2:K3"/>
    <mergeCell ref="L2:L3"/>
    <mergeCell ref="M2:M3"/>
    <mergeCell ref="N2:N3"/>
    <mergeCell ref="O2:O3"/>
    <mergeCell ref="P2:P3"/>
    <mergeCell ref="Y2:Y3"/>
    <mergeCell ref="Z2:Z3"/>
    <mergeCell ref="AA2:AA3"/>
    <mergeCell ref="C12:D12"/>
    <mergeCell ref="R2:S2"/>
    <mergeCell ref="T2:U2"/>
    <mergeCell ref="V2:V3"/>
    <mergeCell ref="W2:W3"/>
    <mergeCell ref="X2:X3"/>
    <mergeCell ref="Q2:Q3"/>
    <mergeCell ref="E12:F12"/>
    <mergeCell ref="A11:H11"/>
  </mergeCells>
  <conditionalFormatting sqref="N4:N8 Z4:Z8">
    <cfRule type="cellIs" dxfId="5" priority="2" operator="greaterThan">
      <formula>M4</formula>
    </cfRule>
    <cfRule type="cellIs" dxfId="4" priority="3" operator="lessThan">
      <formula>$M4</formula>
    </cfRule>
  </conditionalFormatting>
  <dataValidations count="4">
    <dataValidation allowBlank="1" showInputMessage="1" showErrorMessage="1" prompt="Inserire un importo uguale o maggiore di quello riportato all'interno della colonna &quot;Cofinanziamento minimo&quot;" sqref="N4:N8 Z4:Z8" xr:uid="{00000000-0002-0000-0100-000000000000}">
      <formula1>0</formula1>
      <formula2>0</formula2>
    </dataValidation>
    <dataValidation type="list" allowBlank="1" showInputMessage="1" showErrorMessage="1" sqref="T4:T8" xr:uid="{00000000-0002-0000-0100-000001000000}">
      <formula1>$D$22:$D$23</formula1>
      <formula2>0</formula2>
    </dataValidation>
    <dataValidation type="list" allowBlank="1" showInputMessage="1" showErrorMessage="1" sqref="F4:F8 R4:R8" xr:uid="{00000000-0002-0000-0100-000002000000}">
      <formula1>$D$21:$D$23</formula1>
      <formula2>0</formula2>
    </dataValidation>
    <dataValidation type="list" allowBlank="1" showInputMessage="1" showErrorMessage="1" sqref="H4:H8" xr:uid="{44F8AECF-0EFC-46C8-BC1C-F2A59D142C9E}">
      <formula1>$D$22:$D$24</formula1>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Massimali!$A$3:$A$6</xm:f>
          </x14:formula1>
          <x14:formula2>
            <xm:f>0</xm:f>
          </x14:formula2>
          <xm:sqref>C4</xm:sqref>
        </x14:dataValidation>
        <x14:dataValidation type="list" allowBlank="1" showInputMessage="1" showErrorMessage="1" xr:uid="{00000000-0002-0000-0100-000004000000}">
          <x14:formula1>
            <xm:f>Massimali!$A$3:$A$7</xm:f>
          </x14:formula1>
          <x14:formula2>
            <xm:f>0</xm:f>
          </x14:formula2>
          <xm:sqref>C5:C8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247E-08D8-4E5D-9B6D-754976767ADD}">
  <dimension ref="A1:AA24"/>
  <sheetViews>
    <sheetView showGridLines="0" zoomScaleNormal="100" workbookViewId="0">
      <selection activeCell="B4" sqref="B4:B8"/>
    </sheetView>
  </sheetViews>
  <sheetFormatPr defaultColWidth="9" defaultRowHeight="13.15" x14ac:dyDescent="0.4"/>
  <cols>
    <col min="1" max="2" width="22" style="10" customWidth="1"/>
    <col min="3" max="3" width="20.3984375" style="10" customWidth="1"/>
    <col min="4" max="4" width="13.3984375" style="10" customWidth="1"/>
    <col min="5" max="5" width="16" style="10" customWidth="1"/>
    <col min="6" max="6" width="11" style="10" customWidth="1"/>
    <col min="7" max="7" width="13.3984375" style="10" customWidth="1"/>
    <col min="8" max="8" width="11" style="10" customWidth="1"/>
    <col min="9" max="10" width="13.3984375" style="10" customWidth="1"/>
    <col min="11" max="11" width="17.3984375" style="10" customWidth="1"/>
    <col min="12" max="12" width="15.1328125" style="10" customWidth="1"/>
    <col min="13" max="13" width="14.265625" style="10" customWidth="1"/>
    <col min="14" max="14" width="14.73046875" style="10" customWidth="1"/>
    <col min="15" max="15" width="17.265625" style="10" customWidth="1"/>
    <col min="16" max="19" width="13.1328125" style="10" customWidth="1"/>
    <col min="20" max="20" width="10.9296875" style="10" bestFit="1" customWidth="1"/>
    <col min="21" max="22" width="13.1328125" style="10" customWidth="1"/>
    <col min="23" max="23" width="16.1328125" style="10" customWidth="1"/>
    <col min="24" max="24" width="14.3984375" style="10" customWidth="1"/>
    <col min="25" max="25" width="15.73046875" style="10" customWidth="1"/>
    <col min="26" max="26" width="14.73046875" style="10" customWidth="1"/>
    <col min="27" max="27" width="15.73046875" style="10" customWidth="1"/>
    <col min="28" max="16384" width="9" style="10"/>
  </cols>
  <sheetData>
    <row r="1" spans="1:27" ht="12.75" customHeight="1" x14ac:dyDescent="0.4">
      <c r="A1" s="52" t="s">
        <v>15</v>
      </c>
      <c r="B1" s="53" t="s">
        <v>16</v>
      </c>
      <c r="C1" s="52" t="s">
        <v>17</v>
      </c>
      <c r="D1" s="54" t="s">
        <v>18</v>
      </c>
      <c r="E1" s="54"/>
      <c r="F1" s="54"/>
      <c r="G1" s="54"/>
      <c r="H1" s="54"/>
      <c r="I1" s="54"/>
      <c r="J1" s="54"/>
      <c r="K1" s="54"/>
      <c r="L1" s="54"/>
      <c r="M1" s="54"/>
      <c r="N1" s="54"/>
      <c r="O1" s="54"/>
      <c r="P1" s="55" t="s">
        <v>19</v>
      </c>
      <c r="Q1" s="55"/>
      <c r="R1" s="55"/>
      <c r="S1" s="55"/>
      <c r="T1" s="55"/>
      <c r="U1" s="55"/>
      <c r="V1" s="55"/>
      <c r="W1" s="55"/>
      <c r="X1" s="55"/>
      <c r="Y1" s="55"/>
      <c r="Z1" s="55"/>
      <c r="AA1" s="55"/>
    </row>
    <row r="2" spans="1:27" ht="29.25" customHeight="1" x14ac:dyDescent="0.4">
      <c r="A2" s="52"/>
      <c r="B2" s="53"/>
      <c r="C2" s="52"/>
      <c r="D2" s="56" t="s">
        <v>20</v>
      </c>
      <c r="E2" s="56" t="s">
        <v>21</v>
      </c>
      <c r="F2" s="57" t="s">
        <v>22</v>
      </c>
      <c r="G2" s="57"/>
      <c r="H2" s="56" t="s">
        <v>23</v>
      </c>
      <c r="I2" s="56"/>
      <c r="J2" s="56" t="s">
        <v>24</v>
      </c>
      <c r="K2" s="56" t="s">
        <v>25</v>
      </c>
      <c r="L2" s="56" t="s">
        <v>26</v>
      </c>
      <c r="M2" s="56" t="s">
        <v>27</v>
      </c>
      <c r="N2" s="56" t="s">
        <v>28</v>
      </c>
      <c r="O2" s="56" t="s">
        <v>29</v>
      </c>
      <c r="P2" s="47" t="s">
        <v>20</v>
      </c>
      <c r="Q2" s="50" t="s">
        <v>21</v>
      </c>
      <c r="R2" s="49" t="s">
        <v>22</v>
      </c>
      <c r="S2" s="49"/>
      <c r="T2" s="47" t="s">
        <v>23</v>
      </c>
      <c r="U2" s="47"/>
      <c r="V2" s="47" t="s">
        <v>24</v>
      </c>
      <c r="W2" s="47" t="s">
        <v>30</v>
      </c>
      <c r="X2" s="47" t="s">
        <v>26</v>
      </c>
      <c r="Y2" s="47" t="s">
        <v>27</v>
      </c>
      <c r="Z2" s="47" t="s">
        <v>28</v>
      </c>
      <c r="AA2" s="47" t="s">
        <v>29</v>
      </c>
    </row>
    <row r="3" spans="1:27" ht="12.75" customHeight="1" x14ac:dyDescent="0.4">
      <c r="A3" s="52"/>
      <c r="B3" s="53"/>
      <c r="C3" s="52"/>
      <c r="D3" s="56"/>
      <c r="E3" s="56"/>
      <c r="F3" s="11" t="s">
        <v>31</v>
      </c>
      <c r="G3" s="11" t="s">
        <v>32</v>
      </c>
      <c r="H3" s="11" t="s">
        <v>31</v>
      </c>
      <c r="I3" s="11" t="s">
        <v>32</v>
      </c>
      <c r="J3" s="56"/>
      <c r="K3" s="56"/>
      <c r="L3" s="56"/>
      <c r="M3" s="56"/>
      <c r="N3" s="56"/>
      <c r="O3" s="56"/>
      <c r="P3" s="47"/>
      <c r="Q3" s="50"/>
      <c r="R3" s="12" t="s">
        <v>31</v>
      </c>
      <c r="S3" s="12" t="s">
        <v>32</v>
      </c>
      <c r="T3" s="12" t="s">
        <v>31</v>
      </c>
      <c r="U3" s="12" t="s">
        <v>32</v>
      </c>
      <c r="V3" s="47"/>
      <c r="W3" s="47"/>
      <c r="X3" s="47"/>
      <c r="Y3" s="47"/>
      <c r="Z3" s="47"/>
      <c r="AA3" s="47"/>
    </row>
    <row r="4" spans="1:27" x14ac:dyDescent="0.4">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50000</v>
      </c>
      <c r="O4" s="17">
        <f>K4-N4</f>
        <v>150000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x14ac:dyDescent="0.4">
      <c r="A5" s="13" t="s">
        <v>35</v>
      </c>
      <c r="B5" s="41" t="s">
        <v>36</v>
      </c>
      <c r="C5" s="41" t="s">
        <v>8</v>
      </c>
      <c r="D5" s="14">
        <f>IF($C5="Operatore NON economico",0,VLOOKUP($C5,Massimali!$A$3:$F$6,2,FALSE()))</f>
        <v>0</v>
      </c>
      <c r="E5" s="14">
        <f>IF($C5="Operatore NON economico",0,IF(C5="Grande impresa",0,IF(C5="Media impresa",0.1,0.2)))</f>
        <v>0</v>
      </c>
      <c r="F5" s="21" t="b">
        <f>FALSE()</f>
        <v>0</v>
      </c>
      <c r="G5" s="14">
        <f>IF((AND(F5=TRUE(),$C5&lt;&gt;"Operatore NON economico")),0.05,0)</f>
        <v>0</v>
      </c>
      <c r="H5" s="21" t="b">
        <f>NOT(F5)</f>
        <v>1</v>
      </c>
      <c r="I5" s="14" t="str">
        <f>IFERROR(IF(H5=TRUE(),VLOOKUP($C5,Massimali!$A$3:$F$6,5,FALSE()),0),"")</f>
        <v/>
      </c>
      <c r="J5" s="14">
        <f>IF($C5="Operatore NON Economico",1,IF((D5+E5+I5+G5)&gt;0.8,0.8,(D5+E5+I5+G5)))</f>
        <v>1</v>
      </c>
      <c r="K5" s="16">
        <v>190000</v>
      </c>
      <c r="L5" s="17">
        <f>K5*J5</f>
        <v>190000</v>
      </c>
      <c r="M5" s="17">
        <f>K5-L5</f>
        <v>0</v>
      </c>
      <c r="N5" s="18"/>
      <c r="O5" s="17">
        <f>K5-N5</f>
        <v>190000</v>
      </c>
      <c r="P5" s="19">
        <f>IF($C5="Operatore NON economico",0,VLOOKUP($C5,Massimali!$A$3:$F$6,3,FALSE()))</f>
        <v>0</v>
      </c>
      <c r="Q5" s="40">
        <f>IF($C5="Operatore NON economico",0,IF(O5="Grande impresa",0,IF(O5="Media impresa",0.1,0.2)))</f>
        <v>0</v>
      </c>
      <c r="R5" s="22" t="b">
        <f>FALSE()</f>
        <v>0</v>
      </c>
      <c r="S5" s="19">
        <f>IF((AND(R5=TRUE(),$C5&lt;&gt;"Operatore NON economico")),0.05,0)</f>
        <v>0</v>
      </c>
      <c r="T5" s="22" t="b">
        <f>NOT(R5)</f>
        <v>1</v>
      </c>
      <c r="U5" s="19" t="str">
        <f>IFERROR(IF(T5=TRUE(),VLOOKUP($C5,Massimali!$A$3:$F$6,5,FALSE()),0),"")</f>
        <v/>
      </c>
      <c r="V5" s="40">
        <f>IF($C5="Operatore NON Economico",1,IF((P5+Q5+U5+S5)&gt;0.8,0.8,(P5+Q5+U5+S5)))</f>
        <v>1</v>
      </c>
      <c r="W5" s="16">
        <v>190000</v>
      </c>
      <c r="X5" s="20">
        <f t="shared" ref="X5:X8" si="0">IFERROR(W5*V5,"")</f>
        <v>190000</v>
      </c>
      <c r="Y5" s="20">
        <f t="shared" ref="Y5:Y8" si="1">IFERROR(W5-X5,"")</f>
        <v>0</v>
      </c>
      <c r="Z5" s="18">
        <v>0</v>
      </c>
      <c r="AA5" s="20">
        <f>W5-Z5</f>
        <v>190000</v>
      </c>
    </row>
    <row r="6" spans="1:27" x14ac:dyDescent="0.4">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x14ac:dyDescent="0.4">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x14ac:dyDescent="0.4">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x14ac:dyDescent="0.4">
      <c r="A10" s="23" t="s">
        <v>43</v>
      </c>
      <c r="C10" s="24"/>
      <c r="J10" s="24" t="s">
        <v>44</v>
      </c>
      <c r="K10" s="25">
        <f>SUM(K4:K8)</f>
        <v>900000</v>
      </c>
      <c r="L10" s="25">
        <f>SUM(L4:L8)</f>
        <v>737500</v>
      </c>
      <c r="M10" s="25">
        <f>SUM(M4:M8)</f>
        <v>162500</v>
      </c>
      <c r="N10" s="25">
        <f>SUM(N4:N8)</f>
        <v>162500</v>
      </c>
      <c r="O10" s="25">
        <f>SUM(O4:O8)</f>
        <v>737500</v>
      </c>
      <c r="V10" s="24" t="s">
        <v>45</v>
      </c>
      <c r="W10" s="25">
        <f>SUM(W4:W8)</f>
        <v>714000</v>
      </c>
      <c r="X10" s="25">
        <f>SUM(X4:X8)</f>
        <v>463600</v>
      </c>
      <c r="Y10" s="25">
        <f>SUM(Y4:Y8)</f>
        <v>250400</v>
      </c>
      <c r="Z10" s="25">
        <f>SUM(Z4:Z8)</f>
        <v>250400</v>
      </c>
      <c r="AA10" s="25">
        <f>SUM(AA4:AA8)</f>
        <v>463600</v>
      </c>
    </row>
    <row r="12" spans="1:27" x14ac:dyDescent="0.4">
      <c r="C12" s="48" t="s">
        <v>46</v>
      </c>
      <c r="D12" s="48"/>
      <c r="E12" s="51" t="s">
        <v>28</v>
      </c>
      <c r="F12" s="51"/>
      <c r="G12" s="26" t="s">
        <v>47</v>
      </c>
      <c r="H12" s="26" t="s">
        <v>48</v>
      </c>
    </row>
    <row r="13" spans="1:27" x14ac:dyDescent="0.4">
      <c r="A13" s="27"/>
      <c r="B13" s="28" t="s">
        <v>49</v>
      </c>
      <c r="C13" s="29" t="s">
        <v>50</v>
      </c>
      <c r="D13" s="29" t="s">
        <v>51</v>
      </c>
      <c r="E13" s="29" t="s">
        <v>50</v>
      </c>
      <c r="F13" s="29" t="s">
        <v>51</v>
      </c>
      <c r="G13" s="30"/>
      <c r="H13" s="30"/>
    </row>
    <row r="14" spans="1:27" x14ac:dyDescent="0.4">
      <c r="A14" s="24" t="s">
        <v>52</v>
      </c>
      <c r="B14" s="31">
        <f>K10</f>
        <v>900000</v>
      </c>
      <c r="C14" s="31">
        <f>M10</f>
        <v>162500</v>
      </c>
      <c r="D14" s="32"/>
      <c r="E14" s="31">
        <f>N10</f>
        <v>162500</v>
      </c>
      <c r="F14" s="32"/>
      <c r="G14" s="33"/>
      <c r="H14" s="32"/>
      <c r="L14" s="34"/>
      <c r="M14" s="34"/>
    </row>
    <row r="15" spans="1:27" x14ac:dyDescent="0.4">
      <c r="A15" s="24" t="s">
        <v>53</v>
      </c>
      <c r="B15" s="31">
        <f>W10</f>
        <v>714000</v>
      </c>
      <c r="C15" s="31">
        <f>Y10</f>
        <v>250400</v>
      </c>
      <c r="D15" s="32"/>
      <c r="E15" s="31">
        <f>Z10</f>
        <v>250400</v>
      </c>
      <c r="F15" s="32"/>
      <c r="G15" s="32"/>
      <c r="H15" s="32"/>
    </row>
    <row r="16" spans="1:27" x14ac:dyDescent="0.4">
      <c r="A16" s="24" t="s">
        <v>54</v>
      </c>
      <c r="B16" s="35">
        <f>B14+B15</f>
        <v>1614000</v>
      </c>
      <c r="C16" s="35">
        <f>C14+C15</f>
        <v>412900</v>
      </c>
      <c r="D16" s="36">
        <f>IFERROR(C16/B16,"")</f>
        <v>0.25582403965303596</v>
      </c>
      <c r="E16" s="35">
        <f>E14+E15</f>
        <v>412900</v>
      </c>
      <c r="F16" s="36">
        <f>IFERROR(E16/B16,"")</f>
        <v>0.25582403965303596</v>
      </c>
      <c r="G16" s="37">
        <f>IFERROR(F16-D16,"")</f>
        <v>0</v>
      </c>
      <c r="H16" s="38">
        <f>IFERROR(IF(G16*100&gt;4,20,G16*100+16),"")</f>
        <v>16</v>
      </c>
    </row>
    <row r="18" spans="1:4" x14ac:dyDescent="0.4">
      <c r="A18" s="26" t="s">
        <v>55</v>
      </c>
    </row>
    <row r="19" spans="1:4" x14ac:dyDescent="0.4">
      <c r="A19" s="23" t="s">
        <v>56</v>
      </c>
    </row>
    <row r="20" spans="1:4" x14ac:dyDescent="0.4">
      <c r="A20" s="23" t="s">
        <v>57</v>
      </c>
    </row>
    <row r="22" spans="1:4" x14ac:dyDescent="0.4">
      <c r="D22" s="39" t="b">
        <f>TRUE()</f>
        <v>1</v>
      </c>
    </row>
    <row r="23" spans="1:4" x14ac:dyDescent="0.4">
      <c r="D23" s="39" t="b">
        <f>FALSE()</f>
        <v>0</v>
      </c>
    </row>
    <row r="24" spans="1:4" x14ac:dyDescent="0.4">
      <c r="A24" s="1" t="s">
        <v>58</v>
      </c>
      <c r="B24" s="26" t="s">
        <v>59</v>
      </c>
    </row>
  </sheetData>
  <mergeCells count="27">
    <mergeCell ref="X2:X3"/>
    <mergeCell ref="K2:K3"/>
    <mergeCell ref="L2:L3"/>
    <mergeCell ref="M2:M3"/>
    <mergeCell ref="N2:N3"/>
    <mergeCell ref="O2:O3"/>
    <mergeCell ref="C12:D12"/>
    <mergeCell ref="E12:F12"/>
    <mergeCell ref="Q2:Q3"/>
    <mergeCell ref="R2:S2"/>
    <mergeCell ref="T2:U2"/>
    <mergeCell ref="P2:P3"/>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s>
  <conditionalFormatting sqref="N4:N8 Z4:Z8">
    <cfRule type="cellIs" dxfId="3" priority="1" operator="greaterThan">
      <formula>M4</formula>
    </cfRule>
    <cfRule type="cellIs" dxfId="2" priority="2" operator="lessThan">
      <formula>$M4</formula>
    </cfRule>
  </conditionalFormatting>
  <dataValidations count="3">
    <dataValidation type="list" allowBlank="1" showInputMessage="1" showErrorMessage="1" sqref="F4:F8 R4:R8" xr:uid="{F37F94B4-6FBF-4D2F-B22D-6B73421A5C8C}">
      <formula1>$D$21:$D$23</formula1>
      <formula2>0</formula2>
    </dataValidation>
    <dataValidation type="list" allowBlank="1" showInputMessage="1" showErrorMessage="1" sqref="H4:H8 T4:T8" xr:uid="{10117E2F-E8FB-4646-BEFD-5C74884E436B}">
      <formula1>$D$22:$D$23</formula1>
      <formula2>0</formula2>
    </dataValidation>
    <dataValidation allowBlank="1" showInputMessage="1" showErrorMessage="1" prompt="Inserire un importo uguale o maggiore di quello riportato all'interno della colonna &quot;Cofinanziamento minimo&quot;" sqref="N4:N8 Z4:Z8" xr:uid="{0B406A69-CA22-406C-B1C1-8F44BE9803AA}">
      <formula1>0</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CBFD90B9-5918-4174-8028-180FD1DFD9E1}">
          <x14:formula1>
            <xm:f>Massimali!$A$3:$A$7</xm:f>
          </x14:formula1>
          <x14:formula2>
            <xm:f>0</xm:f>
          </x14:formula2>
          <xm:sqref>C5:C8</xm:sqref>
        </x14:dataValidation>
        <x14:dataValidation type="list" allowBlank="1" showInputMessage="1" showErrorMessage="1" xr:uid="{C2B4652E-4B09-48D8-B73F-E27FBDAA40CF}">
          <x14:formula1>
            <xm:f>Massimali!$A$3:$A$6</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5181-C875-4139-8268-DAD2CC83653A}">
  <dimension ref="A1:AA24"/>
  <sheetViews>
    <sheetView showGridLines="0" zoomScaleNormal="100" workbookViewId="0">
      <selection activeCell="I18" sqref="I18"/>
    </sheetView>
  </sheetViews>
  <sheetFormatPr defaultColWidth="9" defaultRowHeight="13.15" x14ac:dyDescent="0.4"/>
  <cols>
    <col min="1" max="2" width="22" style="10" customWidth="1"/>
    <col min="3" max="3" width="20.3984375" style="10" customWidth="1"/>
    <col min="4" max="4" width="13.3984375" style="10" customWidth="1"/>
    <col min="5" max="5" width="16" style="10" customWidth="1"/>
    <col min="6" max="6" width="11" style="10" customWidth="1"/>
    <col min="7" max="7" width="13.3984375" style="10" customWidth="1"/>
    <col min="8" max="8" width="11" style="10" customWidth="1"/>
    <col min="9" max="10" width="13.3984375" style="10" customWidth="1"/>
    <col min="11" max="11" width="17.3984375" style="10" customWidth="1"/>
    <col min="12" max="12" width="15.1328125" style="10" customWidth="1"/>
    <col min="13" max="13" width="14.265625" style="10" customWidth="1"/>
    <col min="14" max="14" width="14.73046875" style="10" customWidth="1"/>
    <col min="15" max="15" width="17.265625" style="10" customWidth="1"/>
    <col min="16" max="19" width="13.1328125" style="10" customWidth="1"/>
    <col min="20" max="20" width="10.9296875" style="10" bestFit="1" customWidth="1"/>
    <col min="21" max="22" width="13.1328125" style="10" customWidth="1"/>
    <col min="23" max="23" width="16.1328125" style="10" customWidth="1"/>
    <col min="24" max="24" width="14.3984375" style="10" customWidth="1"/>
    <col min="25" max="25" width="15.73046875" style="10" customWidth="1"/>
    <col min="26" max="26" width="14.73046875" style="10" customWidth="1"/>
    <col min="27" max="27" width="15.73046875" style="10" customWidth="1"/>
    <col min="28" max="16384" width="9" style="10"/>
  </cols>
  <sheetData>
    <row r="1" spans="1:27" ht="12.75" customHeight="1" x14ac:dyDescent="0.4">
      <c r="A1" s="52" t="s">
        <v>15</v>
      </c>
      <c r="B1" s="53" t="s">
        <v>16</v>
      </c>
      <c r="C1" s="52" t="s">
        <v>17</v>
      </c>
      <c r="D1" s="54" t="s">
        <v>18</v>
      </c>
      <c r="E1" s="54"/>
      <c r="F1" s="54"/>
      <c r="G1" s="54"/>
      <c r="H1" s="54"/>
      <c r="I1" s="54"/>
      <c r="J1" s="54"/>
      <c r="K1" s="54"/>
      <c r="L1" s="54"/>
      <c r="M1" s="54"/>
      <c r="N1" s="54"/>
      <c r="O1" s="54"/>
      <c r="P1" s="55" t="s">
        <v>19</v>
      </c>
      <c r="Q1" s="55"/>
      <c r="R1" s="55"/>
      <c r="S1" s="55"/>
      <c r="T1" s="55"/>
      <c r="U1" s="55"/>
      <c r="V1" s="55"/>
      <c r="W1" s="55"/>
      <c r="X1" s="55"/>
      <c r="Y1" s="55"/>
      <c r="Z1" s="55"/>
      <c r="AA1" s="55"/>
    </row>
    <row r="2" spans="1:27" ht="29.25" customHeight="1" x14ac:dyDescent="0.4">
      <c r="A2" s="52"/>
      <c r="B2" s="53"/>
      <c r="C2" s="52"/>
      <c r="D2" s="56" t="s">
        <v>20</v>
      </c>
      <c r="E2" s="56" t="s">
        <v>21</v>
      </c>
      <c r="F2" s="57" t="s">
        <v>22</v>
      </c>
      <c r="G2" s="57"/>
      <c r="H2" s="56" t="s">
        <v>23</v>
      </c>
      <c r="I2" s="56"/>
      <c r="J2" s="56" t="s">
        <v>24</v>
      </c>
      <c r="K2" s="56" t="s">
        <v>25</v>
      </c>
      <c r="L2" s="56" t="s">
        <v>26</v>
      </c>
      <c r="M2" s="56" t="s">
        <v>27</v>
      </c>
      <c r="N2" s="56" t="s">
        <v>28</v>
      </c>
      <c r="O2" s="56" t="s">
        <v>29</v>
      </c>
      <c r="P2" s="47" t="s">
        <v>20</v>
      </c>
      <c r="Q2" s="50" t="s">
        <v>21</v>
      </c>
      <c r="R2" s="49" t="s">
        <v>22</v>
      </c>
      <c r="S2" s="49"/>
      <c r="T2" s="47" t="s">
        <v>23</v>
      </c>
      <c r="U2" s="47"/>
      <c r="V2" s="47" t="s">
        <v>24</v>
      </c>
      <c r="W2" s="47" t="s">
        <v>30</v>
      </c>
      <c r="X2" s="47" t="s">
        <v>26</v>
      </c>
      <c r="Y2" s="47" t="s">
        <v>27</v>
      </c>
      <c r="Z2" s="47" t="s">
        <v>28</v>
      </c>
      <c r="AA2" s="47" t="s">
        <v>29</v>
      </c>
    </row>
    <row r="3" spans="1:27" ht="12.75" customHeight="1" x14ac:dyDescent="0.4">
      <c r="A3" s="52"/>
      <c r="B3" s="53"/>
      <c r="C3" s="52"/>
      <c r="D3" s="56"/>
      <c r="E3" s="56"/>
      <c r="F3" s="11" t="s">
        <v>31</v>
      </c>
      <c r="G3" s="11" t="s">
        <v>32</v>
      </c>
      <c r="H3" s="11" t="s">
        <v>31</v>
      </c>
      <c r="I3" s="11" t="s">
        <v>32</v>
      </c>
      <c r="J3" s="56"/>
      <c r="K3" s="56"/>
      <c r="L3" s="56"/>
      <c r="M3" s="56"/>
      <c r="N3" s="56"/>
      <c r="O3" s="56"/>
      <c r="P3" s="47"/>
      <c r="Q3" s="50"/>
      <c r="R3" s="12" t="s">
        <v>31</v>
      </c>
      <c r="S3" s="12" t="s">
        <v>32</v>
      </c>
      <c r="T3" s="12" t="s">
        <v>31</v>
      </c>
      <c r="U3" s="12" t="s">
        <v>32</v>
      </c>
      <c r="V3" s="47"/>
      <c r="W3" s="47"/>
      <c r="X3" s="47"/>
      <c r="Y3" s="47"/>
      <c r="Z3" s="47"/>
      <c r="AA3" s="47"/>
    </row>
    <row r="4" spans="1:27" x14ac:dyDescent="0.4">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70000</v>
      </c>
      <c r="O4" s="17">
        <f>K4-N4</f>
        <v>130000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x14ac:dyDescent="0.4">
      <c r="A5" s="13" t="s">
        <v>35</v>
      </c>
      <c r="B5" s="41" t="s">
        <v>36</v>
      </c>
      <c r="C5" s="41" t="s">
        <v>8</v>
      </c>
      <c r="D5" s="14">
        <f>IF($C5="Operatore NON economico",0,VLOOKUP($C5,Massimali!$A$3:$F$6,2,FALSE()))</f>
        <v>0</v>
      </c>
      <c r="E5" s="14">
        <f>IF($C5="Operatore NON economico",0,IF(C5="Grande impresa",0,IF(C5="Media impresa",0.1,0.2)))</f>
        <v>0</v>
      </c>
      <c r="F5" s="21" t="b">
        <f>FALSE()</f>
        <v>0</v>
      </c>
      <c r="G5" s="14">
        <f>IF((AND(F5=TRUE(),$C5&lt;&gt;"Operatore NON economico")),0.05,0)</f>
        <v>0</v>
      </c>
      <c r="H5" s="21" t="b">
        <f>NOT(F5)</f>
        <v>1</v>
      </c>
      <c r="I5" s="14" t="str">
        <f>IFERROR(IF(H5=TRUE(),VLOOKUP($C5,Massimali!$A$3:$F$6,5,FALSE()),0),"")</f>
        <v/>
      </c>
      <c r="J5" s="14">
        <f>IF($C5="Operatore NON Economico",1,IF((D5+E5+I5+G5)&gt;0.8,0.8,(D5+E5+I5+G5)))</f>
        <v>1</v>
      </c>
      <c r="K5" s="16">
        <v>190000</v>
      </c>
      <c r="L5" s="17">
        <f>K5*J5</f>
        <v>190000</v>
      </c>
      <c r="M5" s="17">
        <f>K5-L5</f>
        <v>0</v>
      </c>
      <c r="N5" s="18"/>
      <c r="O5" s="17">
        <f>K5-N5</f>
        <v>190000</v>
      </c>
      <c r="P5" s="19">
        <f>IF($C5="Operatore NON economico",0,VLOOKUP($C5,Massimali!$A$3:$F$6,3,FALSE()))</f>
        <v>0</v>
      </c>
      <c r="Q5" s="40">
        <f>IF($C5="Operatore NON economico",0,IF(O5="Grande impresa",0,IF(O5="Media impresa",0.1,0.2)))</f>
        <v>0</v>
      </c>
      <c r="R5" s="22" t="b">
        <f>FALSE()</f>
        <v>0</v>
      </c>
      <c r="S5" s="19">
        <f>IF((AND(R5=TRUE(),$C5&lt;&gt;"Operatore NON economico")),0.05,0)</f>
        <v>0</v>
      </c>
      <c r="T5" s="22" t="b">
        <f>NOT(R5)</f>
        <v>1</v>
      </c>
      <c r="U5" s="19" t="str">
        <f>IFERROR(IF(T5=TRUE(),VLOOKUP($C5,Massimali!$A$3:$F$6,5,FALSE()),0),"")</f>
        <v/>
      </c>
      <c r="V5" s="40">
        <f>IF($C5="Operatore NON Economico",1,IF((P5+Q5+U5+S5)&gt;0.8,0.8,(P5+Q5+U5+S5)))</f>
        <v>1</v>
      </c>
      <c r="W5" s="16">
        <v>190000</v>
      </c>
      <c r="X5" s="20">
        <f t="shared" ref="X5:X8" si="0">IFERROR(W5*V5,"")</f>
        <v>190000</v>
      </c>
      <c r="Y5" s="20">
        <f t="shared" ref="Y5:Y8" si="1">IFERROR(W5-X5,"")</f>
        <v>0</v>
      </c>
      <c r="Z5" s="18">
        <v>0</v>
      </c>
      <c r="AA5" s="20">
        <f>W5-Z5</f>
        <v>190000</v>
      </c>
    </row>
    <row r="6" spans="1:27" x14ac:dyDescent="0.4">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x14ac:dyDescent="0.4">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x14ac:dyDescent="0.4">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x14ac:dyDescent="0.4">
      <c r="A10" s="23" t="s">
        <v>43</v>
      </c>
      <c r="C10" s="24"/>
      <c r="J10" s="24" t="s">
        <v>44</v>
      </c>
      <c r="K10" s="25">
        <f>SUM(K4:K8)</f>
        <v>900000</v>
      </c>
      <c r="L10" s="25">
        <f>SUM(L4:L8)</f>
        <v>737500</v>
      </c>
      <c r="M10" s="25">
        <f>SUM(M4:M8)</f>
        <v>162500</v>
      </c>
      <c r="N10" s="25">
        <f>SUM(N4:N8)</f>
        <v>182500</v>
      </c>
      <c r="O10" s="25">
        <f>SUM(O4:O8)</f>
        <v>717500</v>
      </c>
      <c r="V10" s="24" t="s">
        <v>45</v>
      </c>
      <c r="W10" s="25">
        <f>SUM(W4:W8)</f>
        <v>714000</v>
      </c>
      <c r="X10" s="25">
        <f>SUM(X4:X8)</f>
        <v>463600</v>
      </c>
      <c r="Y10" s="25">
        <f>SUM(Y4:Y8)</f>
        <v>250400</v>
      </c>
      <c r="Z10" s="25">
        <f>SUM(Z4:Z8)</f>
        <v>250400</v>
      </c>
      <c r="AA10" s="25">
        <f>SUM(AA4:AA8)</f>
        <v>463600</v>
      </c>
    </row>
    <row r="12" spans="1:27" x14ac:dyDescent="0.4">
      <c r="C12" s="48" t="s">
        <v>46</v>
      </c>
      <c r="D12" s="48"/>
      <c r="E12" s="51" t="s">
        <v>28</v>
      </c>
      <c r="F12" s="51"/>
      <c r="G12" s="26" t="s">
        <v>47</v>
      </c>
      <c r="H12" s="26" t="s">
        <v>48</v>
      </c>
    </row>
    <row r="13" spans="1:27" x14ac:dyDescent="0.4">
      <c r="A13" s="27"/>
      <c r="B13" s="28" t="s">
        <v>49</v>
      </c>
      <c r="C13" s="29" t="s">
        <v>50</v>
      </c>
      <c r="D13" s="29" t="s">
        <v>51</v>
      </c>
      <c r="E13" s="29" t="s">
        <v>50</v>
      </c>
      <c r="F13" s="29" t="s">
        <v>51</v>
      </c>
      <c r="G13" s="30"/>
      <c r="H13" s="30"/>
    </row>
    <row r="14" spans="1:27" x14ac:dyDescent="0.4">
      <c r="A14" s="24" t="s">
        <v>52</v>
      </c>
      <c r="B14" s="31">
        <f>K10</f>
        <v>900000</v>
      </c>
      <c r="C14" s="31">
        <f>M10</f>
        <v>162500</v>
      </c>
      <c r="D14" s="32"/>
      <c r="E14" s="31">
        <f>N10</f>
        <v>182500</v>
      </c>
      <c r="F14" s="32"/>
      <c r="G14" s="33"/>
      <c r="H14" s="32"/>
      <c r="L14" s="34"/>
      <c r="M14" s="34"/>
    </row>
    <row r="15" spans="1:27" x14ac:dyDescent="0.4">
      <c r="A15" s="24" t="s">
        <v>53</v>
      </c>
      <c r="B15" s="31">
        <f>W10</f>
        <v>714000</v>
      </c>
      <c r="C15" s="31">
        <f>Y10</f>
        <v>250400</v>
      </c>
      <c r="D15" s="32"/>
      <c r="E15" s="31">
        <f>Z10</f>
        <v>250400</v>
      </c>
      <c r="F15" s="32"/>
      <c r="G15" s="32"/>
      <c r="H15" s="32"/>
    </row>
    <row r="16" spans="1:27" x14ac:dyDescent="0.4">
      <c r="A16" s="24" t="s">
        <v>54</v>
      </c>
      <c r="B16" s="35">
        <f>B14+B15</f>
        <v>1614000</v>
      </c>
      <c r="C16" s="35">
        <f>C14+C15</f>
        <v>412900</v>
      </c>
      <c r="D16" s="36">
        <f>IFERROR(C16/B16,"")</f>
        <v>0.25582403965303596</v>
      </c>
      <c r="E16" s="35">
        <f>E14+E15</f>
        <v>432900</v>
      </c>
      <c r="F16" s="36">
        <f>IFERROR(E16/B16,"")</f>
        <v>0.26821561338289962</v>
      </c>
      <c r="G16" s="37">
        <f>IFERROR(F16-D16,"")</f>
        <v>1.2391573729863659E-2</v>
      </c>
      <c r="H16" s="38">
        <f>IFERROR(IF(G16*100&gt;4,20,G16*100+16),"")</f>
        <v>17.239157372986366</v>
      </c>
    </row>
    <row r="18" spans="1:4" x14ac:dyDescent="0.4">
      <c r="A18" s="26" t="s">
        <v>55</v>
      </c>
    </row>
    <row r="19" spans="1:4" x14ac:dyDescent="0.4">
      <c r="A19" s="23" t="s">
        <v>56</v>
      </c>
    </row>
    <row r="20" spans="1:4" x14ac:dyDescent="0.4">
      <c r="A20" s="23" t="s">
        <v>57</v>
      </c>
    </row>
    <row r="22" spans="1:4" x14ac:dyDescent="0.4">
      <c r="D22" s="39" t="b">
        <f>TRUE()</f>
        <v>1</v>
      </c>
    </row>
    <row r="23" spans="1:4" x14ac:dyDescent="0.4">
      <c r="D23" s="39" t="b">
        <f>FALSE()</f>
        <v>0</v>
      </c>
    </row>
    <row r="24" spans="1:4" x14ac:dyDescent="0.4">
      <c r="A24" s="1" t="s">
        <v>58</v>
      </c>
      <c r="B24" s="26" t="s">
        <v>62</v>
      </c>
    </row>
  </sheetData>
  <mergeCells count="27">
    <mergeCell ref="X2:X3"/>
    <mergeCell ref="K2:K3"/>
    <mergeCell ref="L2:L3"/>
    <mergeCell ref="M2:M3"/>
    <mergeCell ref="N2:N3"/>
    <mergeCell ref="O2:O3"/>
    <mergeCell ref="C12:D12"/>
    <mergeCell ref="E12:F12"/>
    <mergeCell ref="Q2:Q3"/>
    <mergeCell ref="R2:S2"/>
    <mergeCell ref="T2:U2"/>
    <mergeCell ref="P2:P3"/>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s>
  <conditionalFormatting sqref="N4:N8 Z4:Z8">
    <cfRule type="cellIs" dxfId="1" priority="1" operator="greaterThan">
      <formula>M4</formula>
    </cfRule>
    <cfRule type="cellIs" dxfId="0" priority="2" operator="lessThan">
      <formula>$M4</formula>
    </cfRule>
  </conditionalFormatting>
  <dataValidations count="3">
    <dataValidation allowBlank="1" showInputMessage="1" showErrorMessage="1" prompt="Inserire un importo uguale o maggiore di quello riportato all'interno della colonna &quot;Cofinanziamento minimo&quot;" sqref="N4:N8 Z4:Z8" xr:uid="{DE2A80EC-8561-41C1-9D1F-C6C4D73012FF}">
      <formula1>0</formula1>
      <formula2>0</formula2>
    </dataValidation>
    <dataValidation type="list" allowBlank="1" showInputMessage="1" showErrorMessage="1" sqref="H4:H8 T4:T8" xr:uid="{C29D1575-5957-412B-B8C5-B44816D6EF35}">
      <formula1>$D$22:$D$23</formula1>
      <formula2>0</formula2>
    </dataValidation>
    <dataValidation type="list" allowBlank="1" showInputMessage="1" showErrorMessage="1" sqref="F4:F8 R4:R8" xr:uid="{3B93090B-5145-4609-81DC-66C2D0F2D90B}">
      <formula1>$D$21:$D$23</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66422BB8-CDB3-4888-8866-C73D4931C75B}">
          <x14:formula1>
            <xm:f>Massimali!$A$3:$A$6</xm:f>
          </x14:formula1>
          <x14:formula2>
            <xm:f>0</xm:f>
          </x14:formula2>
          <xm:sqref>C4</xm:sqref>
        </x14:dataValidation>
        <x14:dataValidation type="list" allowBlank="1" showInputMessage="1" showErrorMessage="1" xr:uid="{3408CE5C-E0BF-4668-AE56-31D4A795513C}">
          <x14:formula1>
            <xm:f>Massimali!$A$3:$A$7</xm:f>
          </x14:formula1>
          <x14:formula2>
            <xm:f>0</xm:f>
          </x14:formula2>
          <xm:sqref>C5:C8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Massimali</vt:lpstr>
      <vt:lpstr>Calcolo punteggio Criterio 1</vt:lpstr>
      <vt:lpstr>Esempio_1</vt:lpstr>
      <vt:lpstr>Esempio_2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giuseppe settanni</dc:creator>
  <cp:keywords/>
  <dc:description/>
  <cp:lastModifiedBy>giuseppe settanni</cp:lastModifiedBy>
  <cp:revision>6</cp:revision>
  <dcterms:created xsi:type="dcterms:W3CDTF">2025-06-09T15:24:28Z</dcterms:created>
  <dcterms:modified xsi:type="dcterms:W3CDTF">2025-09-03T07:37:26Z</dcterms:modified>
  <cp:category/>
  <cp:contentStatus/>
</cp:coreProperties>
</file>